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B378F494-DBAA-4D35-BC24-0C9A550FB1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Instructions!$A$1:$R$18</definedName>
    <definedName name="_xlnm.Print_Area" localSheetId="1">Summary!$C$1:$I$40</definedName>
    <definedName name="_xlnm.Print_Area" localSheetId="3">Transactions!$A$1:$R$212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1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K1" i="18" l="1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66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44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E29" i="29"/>
  <c r="G37" i="29"/>
  <c r="H28" i="29"/>
  <c r="G35" i="29"/>
  <c r="E21" i="29"/>
  <c r="E35" i="29"/>
  <c r="E26" i="29"/>
  <c r="E30" i="29"/>
  <c r="E33" i="29"/>
  <c r="E23" i="29"/>
  <c r="G25" i="29"/>
  <c r="H26" i="29"/>
  <c r="E28" i="29"/>
  <c r="H32" i="29"/>
  <c r="H31" i="29"/>
  <c r="G32" i="29"/>
  <c r="E25" i="29"/>
  <c r="H21" i="29"/>
  <c r="E37" i="29"/>
  <c r="H35" i="29"/>
  <c r="G23" i="29"/>
  <c r="G30" i="29"/>
  <c r="G33" i="29"/>
  <c r="G26" i="29"/>
  <c r="E31" i="29"/>
  <c r="G27" i="29"/>
  <c r="G28" i="29"/>
  <c r="E22" i="29"/>
  <c r="E36" i="29"/>
  <c r="H27" i="29"/>
  <c r="H24" i="29"/>
  <c r="E32" i="29"/>
  <c r="G36" i="29"/>
  <c r="G31" i="29"/>
  <c r="H36" i="29"/>
  <c r="H25" i="29"/>
  <c r="E24" i="29"/>
  <c r="G29" i="29"/>
  <c r="E27" i="29"/>
  <c r="H22" i="29"/>
  <c r="G24" i="29"/>
  <c r="H33" i="29"/>
  <c r="H37" i="29"/>
  <c r="H30" i="29"/>
  <c r="H29" i="29"/>
  <c r="G22" i="29"/>
  <c r="D24" i="29"/>
  <c r="H23" i="29"/>
  <c r="G21" i="29"/>
  <c r="C56" i="18" l="1"/>
  <c r="C80" i="18" s="1"/>
  <c r="C92" i="18" s="1"/>
  <c r="C104" i="18" s="1"/>
  <c r="C116" i="18" s="1"/>
  <c r="C128" i="18" s="1"/>
  <c r="C140" i="18" s="1"/>
  <c r="C152" i="18" s="1"/>
  <c r="C164" i="18" s="1"/>
  <c r="C64" i="18"/>
  <c r="C76" i="18" s="1"/>
  <c r="D66" i="18"/>
  <c r="D78" i="18" s="1"/>
  <c r="C61" i="18"/>
  <c r="C85" i="18" s="1"/>
  <c r="C97" i="18" s="1"/>
  <c r="C109" i="18" s="1"/>
  <c r="C121" i="18" s="1"/>
  <c r="C133" i="18" s="1"/>
  <c r="C145" i="18" s="1"/>
  <c r="C157" i="18" s="1"/>
  <c r="C181" i="18" s="1"/>
  <c r="C193" i="18" s="1"/>
  <c r="C205" i="18" s="1"/>
  <c r="D79" i="18"/>
  <c r="C63" i="18"/>
  <c r="C87" i="18" s="1"/>
  <c r="C99" i="18" s="1"/>
  <c r="C111" i="18" s="1"/>
  <c r="C123" i="18" s="1"/>
  <c r="C135" i="18" s="1"/>
  <c r="C147" i="18" s="1"/>
  <c r="C159" i="18" s="1"/>
  <c r="C171" i="18" s="1"/>
  <c r="D53" i="18"/>
  <c r="D55" i="18"/>
  <c r="C57" i="18"/>
  <c r="C81" i="18" s="1"/>
  <c r="C93" i="18" s="1"/>
  <c r="C105" i="18" s="1"/>
  <c r="C117" i="18" s="1"/>
  <c r="C129" i="18" s="1"/>
  <c r="C141" i="18" s="1"/>
  <c r="C153" i="18" s="1"/>
  <c r="C165" i="18" s="1"/>
  <c r="C53" i="18"/>
  <c r="D63" i="18"/>
  <c r="D87" i="18" s="1"/>
  <c r="D99" i="18" s="1"/>
  <c r="D111" i="18" s="1"/>
  <c r="D123" i="18" s="1"/>
  <c r="D135" i="18" s="1"/>
  <c r="D147" i="18" s="1"/>
  <c r="D159" i="18" s="1"/>
  <c r="D171" i="18" s="1"/>
  <c r="C54" i="18"/>
  <c r="D50" i="18"/>
  <c r="F10" i="29"/>
  <c r="E20" i="29"/>
  <c r="D20" i="29"/>
  <c r="E10" i="29"/>
  <c r="C78" i="18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C72" i="18"/>
  <c r="D57" i="18"/>
  <c r="D69" i="18" s="1"/>
  <c r="D46" i="18"/>
  <c r="O13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73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68" i="18" s="1"/>
  <c r="F24" i="29"/>
  <c r="I24" i="29" s="1"/>
  <c r="H34" i="29"/>
  <c r="G34" i="29"/>
  <c r="E34" i="29"/>
  <c r="H38" i="29"/>
  <c r="E38" i="29"/>
  <c r="G38" i="29"/>
  <c r="C180" i="18"/>
  <c r="C192" i="18" s="1"/>
  <c r="C204" i="18" s="1"/>
  <c r="C168" i="18"/>
  <c r="O14" i="18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26" i="29"/>
  <c r="D29" i="29"/>
  <c r="D32" i="29"/>
  <c r="D37" i="29"/>
  <c r="D36" i="29"/>
  <c r="D23" i="29"/>
  <c r="D30" i="29"/>
  <c r="D31" i="29"/>
  <c r="D33" i="29"/>
  <c r="D22" i="29"/>
  <c r="D21" i="29"/>
  <c r="D28" i="29"/>
  <c r="D27" i="29"/>
  <c r="D35" i="29"/>
  <c r="D25" i="29"/>
  <c r="F35" i="29" l="1"/>
  <c r="I35" i="29" s="1"/>
  <c r="F33" i="29"/>
  <c r="I33" i="29" s="1"/>
  <c r="F32" i="29"/>
  <c r="I32" i="29" s="1"/>
  <c r="F23" i="29"/>
  <c r="I23" i="29" s="1"/>
  <c r="F28" i="29"/>
  <c r="I28" i="29" s="1"/>
  <c r="F22" i="29"/>
  <c r="I22" i="29" s="1"/>
  <c r="F21" i="29"/>
  <c r="I21" i="29" s="1"/>
  <c r="D34" i="29"/>
  <c r="F31" i="29"/>
  <c r="I31" i="29" s="1"/>
  <c r="F27" i="29"/>
  <c r="I27" i="29" s="1"/>
  <c r="F30" i="29"/>
  <c r="I30" i="29" s="1"/>
  <c r="F37" i="29"/>
  <c r="I37" i="29" s="1"/>
  <c r="D38" i="29"/>
  <c r="F36" i="29"/>
  <c r="I36" i="29" s="1"/>
  <c r="F25" i="29"/>
  <c r="I25" i="29" s="1"/>
  <c r="F29" i="29"/>
  <c r="I29" i="29" s="1"/>
  <c r="F26" i="29"/>
  <c r="I26" i="29" s="1"/>
  <c r="C176" i="18"/>
  <c r="C188" i="18" s="1"/>
  <c r="C200" i="18" s="1"/>
  <c r="C68" i="18"/>
  <c r="C88" i="18"/>
  <c r="C100" i="18" s="1"/>
  <c r="C112" i="18" s="1"/>
  <c r="C124" i="18" s="1"/>
  <c r="C136" i="18" s="1"/>
  <c r="C148" i="18" s="1"/>
  <c r="C160" i="18" s="1"/>
  <c r="C172" i="18" s="1"/>
  <c r="C183" i="18"/>
  <c r="C195" i="18" s="1"/>
  <c r="C207" i="18" s="1"/>
  <c r="C69" i="18"/>
  <c r="D90" i="18"/>
  <c r="D102" i="18" s="1"/>
  <c r="D114" i="18" s="1"/>
  <c r="D126" i="18" s="1"/>
  <c r="D138" i="18" s="1"/>
  <c r="D150" i="18" s="1"/>
  <c r="D162" i="18" s="1"/>
  <c r="D174" i="18" s="1"/>
  <c r="C169" i="18"/>
  <c r="C73" i="18"/>
  <c r="D75" i="18"/>
  <c r="D183" i="18"/>
  <c r="D195" i="18" s="1"/>
  <c r="D207" i="18" s="1"/>
  <c r="C75" i="18"/>
  <c r="D80" i="18"/>
  <c r="D92" i="18" s="1"/>
  <c r="D104" i="18" s="1"/>
  <c r="D116" i="18" s="1"/>
  <c r="D128" i="18" s="1"/>
  <c r="D140" i="18" s="1"/>
  <c r="D152" i="18" s="1"/>
  <c r="D164" i="18" s="1"/>
  <c r="C177" i="18"/>
  <c r="C189" i="18" s="1"/>
  <c r="C201" i="18" s="1"/>
  <c r="C174" i="18"/>
  <c r="D84" i="18"/>
  <c r="D96" i="18" s="1"/>
  <c r="D108" i="18" s="1"/>
  <c r="D120" i="18" s="1"/>
  <c r="D132" i="18" s="1"/>
  <c r="D144" i="18" s="1"/>
  <c r="D156" i="18" s="1"/>
  <c r="D168" i="18" s="1"/>
  <c r="D185" i="18"/>
  <c r="D197" i="18" s="1"/>
  <c r="D209" i="18" s="1"/>
  <c r="D182" i="18"/>
  <c r="D194" i="18" s="1"/>
  <c r="D206" i="18" s="1"/>
  <c r="C91" i="18"/>
  <c r="C103" i="18" s="1"/>
  <c r="C115" i="18" s="1"/>
  <c r="C127" i="18" s="1"/>
  <c r="C139" i="18" s="1"/>
  <c r="C151" i="18" s="1"/>
  <c r="C163" i="18" s="1"/>
  <c r="C187" i="18" s="1"/>
  <c r="C199" i="18" s="1"/>
  <c r="C211" i="18" s="1"/>
  <c r="D81" i="18"/>
  <c r="D93" i="18" s="1"/>
  <c r="D105" i="18" s="1"/>
  <c r="D117" i="18" s="1"/>
  <c r="D129" i="18" s="1"/>
  <c r="D141" i="18" s="1"/>
  <c r="D153" i="18" s="1"/>
  <c r="D177" i="18" s="1"/>
  <c r="D189" i="18" s="1"/>
  <c r="D201" i="18" s="1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D39" i="29" l="1"/>
  <c r="F34" i="29"/>
  <c r="F38" i="29"/>
  <c r="C184" i="18"/>
  <c r="C196" i="18" s="1"/>
  <c r="C208" i="18" s="1"/>
  <c r="D186" i="18"/>
  <c r="D198" i="18" s="1"/>
  <c r="D210" i="18" s="1"/>
  <c r="D176" i="18"/>
  <c r="D188" i="18" s="1"/>
  <c r="D200" i="18" s="1"/>
  <c r="C175" i="18"/>
  <c r="D180" i="18"/>
  <c r="D192" i="18" s="1"/>
  <c r="D204" i="18" s="1"/>
  <c r="D165" i="18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F39" i="29" l="1"/>
  <c r="I39" i="29"/>
  <c r="G212" i="18" l="1"/>
  <c r="E11" i="29" l="1"/>
  <c r="H211" i="18" l="1"/>
  <c r="K211" i="18" s="1"/>
  <c r="H85" i="18"/>
  <c r="K85" i="18" s="1"/>
  <c r="H65" i="18"/>
  <c r="K65" i="18" s="1"/>
  <c r="E13" i="29"/>
  <c r="H181" i="18"/>
  <c r="K181" i="18" s="1"/>
  <c r="H122" i="18"/>
  <c r="K122" i="18" s="1"/>
  <c r="H158" i="18"/>
  <c r="K158" i="18" s="1"/>
  <c r="H112" i="18"/>
  <c r="K112" i="18" s="1"/>
  <c r="H20" i="18"/>
  <c r="K20" i="18" s="1"/>
  <c r="H142" i="18"/>
  <c r="K142" i="18" s="1"/>
  <c r="H127" i="18"/>
  <c r="K127" i="18" s="1"/>
  <c r="H121" i="18"/>
  <c r="K121" i="18" s="1"/>
  <c r="H140" i="18"/>
  <c r="K140" i="18" s="1"/>
  <c r="H79" i="18"/>
  <c r="K79" i="18" s="1"/>
  <c r="H36" i="18"/>
  <c r="K36" i="18" s="1"/>
  <c r="H176" i="18"/>
  <c r="K176" i="18" s="1"/>
  <c r="H166" i="18"/>
  <c r="K166" i="18" s="1"/>
  <c r="H21" i="18"/>
  <c r="K21" i="18" s="1"/>
  <c r="H141" i="18"/>
  <c r="K141" i="18" s="1"/>
  <c r="H132" i="18"/>
  <c r="K132" i="18" s="1"/>
  <c r="H208" i="18"/>
  <c r="K208" i="18" s="1"/>
  <c r="H96" i="18"/>
  <c r="K96" i="18" s="1"/>
  <c r="H200" i="18"/>
  <c r="K200" i="18" s="1"/>
  <c r="H144" i="18"/>
  <c r="K144" i="18" s="1"/>
  <c r="H163" i="18"/>
  <c r="K163" i="18" s="1"/>
  <c r="H84" i="18"/>
  <c r="K84" i="18" s="1"/>
  <c r="H160" i="18"/>
  <c r="K160" i="18" s="1"/>
  <c r="H105" i="18"/>
  <c r="K105" i="18" s="1"/>
  <c r="H33" i="18"/>
  <c r="K33" i="18" s="1"/>
  <c r="H98" i="18"/>
  <c r="K98" i="18" s="1"/>
  <c r="H25" i="18"/>
  <c r="K25" i="18" s="1"/>
  <c r="H27" i="18"/>
  <c r="K27" i="18" s="1"/>
  <c r="H130" i="18"/>
  <c r="K130" i="18" s="1"/>
  <c r="H164" i="18"/>
  <c r="K164" i="18" s="1"/>
  <c r="H111" i="18"/>
  <c r="K111" i="18" s="1"/>
  <c r="H203" i="18"/>
  <c r="K203" i="18" s="1"/>
  <c r="H69" i="18"/>
  <c r="K69" i="18" s="1"/>
  <c r="H179" i="18"/>
  <c r="K179" i="18" s="1"/>
  <c r="H95" i="18"/>
  <c r="K95" i="18" s="1"/>
  <c r="H47" i="18"/>
  <c r="K47" i="18" s="1"/>
  <c r="H197" i="18"/>
  <c r="K197" i="18" s="1"/>
  <c r="H186" i="18"/>
  <c r="K186" i="18" s="1"/>
  <c r="H157" i="18"/>
  <c r="K157" i="18" s="1"/>
  <c r="H133" i="18"/>
  <c r="K133" i="18" s="1"/>
  <c r="H46" i="18"/>
  <c r="K46" i="18" s="1"/>
  <c r="H45" i="18"/>
  <c r="K45" i="18" s="1"/>
  <c r="H119" i="18"/>
  <c r="K119" i="18" s="1"/>
  <c r="H192" i="18"/>
  <c r="K192" i="18" s="1"/>
  <c r="H81" i="18"/>
  <c r="K81" i="18" s="1"/>
  <c r="H49" i="18"/>
  <c r="K49" i="18" s="1"/>
  <c r="H23" i="18"/>
  <c r="K23" i="18" s="1"/>
  <c r="H24" i="18"/>
  <c r="K24" i="18" s="1"/>
  <c r="H131" i="18"/>
  <c r="K131" i="18" s="1"/>
  <c r="H175" i="18"/>
  <c r="K175" i="18" s="1"/>
  <c r="H90" i="18"/>
  <c r="K90" i="18" s="1"/>
  <c r="H61" i="18"/>
  <c r="K61" i="18" s="1"/>
  <c r="H59" i="18"/>
  <c r="K59" i="18" s="1"/>
  <c r="H169" i="18"/>
  <c r="K169" i="18" s="1"/>
  <c r="H118" i="18"/>
  <c r="K118" i="18" s="1"/>
  <c r="H147" i="18"/>
  <c r="K147" i="18" s="1"/>
  <c r="H205" i="18"/>
  <c r="K205" i="18" s="1"/>
  <c r="H100" i="18"/>
  <c r="K100" i="18" s="1"/>
  <c r="H22" i="18"/>
  <c r="K22" i="18" s="1"/>
  <c r="H129" i="18"/>
  <c r="K129" i="18" s="1"/>
  <c r="H99" i="18"/>
  <c r="K99" i="18" s="1"/>
  <c r="H172" i="18"/>
  <c r="K172" i="18" s="1"/>
  <c r="H75" i="18"/>
  <c r="K75" i="18" s="1"/>
  <c r="H73" i="18"/>
  <c r="K73" i="18" s="1"/>
  <c r="H106" i="18"/>
  <c r="K106" i="18" s="1"/>
  <c r="H80" i="18"/>
  <c r="K80" i="18" s="1"/>
  <c r="H196" i="18"/>
  <c r="K196" i="18" s="1"/>
  <c r="H87" i="18"/>
  <c r="K87" i="18" s="1"/>
  <c r="H108" i="18"/>
  <c r="K108" i="18" s="1"/>
  <c r="H40" i="18"/>
  <c r="K40" i="18" s="1"/>
  <c r="H182" i="18"/>
  <c r="K182" i="18" s="1"/>
  <c r="H26" i="18"/>
  <c r="K26" i="18" s="1"/>
  <c r="H128" i="18"/>
  <c r="K128" i="18" s="1"/>
  <c r="H83" i="18"/>
  <c r="K83" i="18" s="1"/>
  <c r="H150" i="18"/>
  <c r="K150" i="18" s="1"/>
  <c r="H185" i="18"/>
  <c r="K185" i="18" s="1"/>
  <c r="H143" i="18"/>
  <c r="K143" i="18" s="1"/>
  <c r="H38" i="18"/>
  <c r="K38" i="18" s="1"/>
  <c r="H174" i="18"/>
  <c r="K174" i="18" s="1"/>
  <c r="H202" i="18"/>
  <c r="K202" i="18" s="1"/>
  <c r="H44" i="18"/>
  <c r="K44" i="18" s="1"/>
  <c r="H114" i="18"/>
  <c r="K114" i="18" s="1"/>
  <c r="H123" i="18"/>
  <c r="K123" i="18" s="1"/>
  <c r="H153" i="18"/>
  <c r="K153" i="18" s="1"/>
  <c r="H77" i="18"/>
  <c r="K77" i="18" s="1"/>
  <c r="H30" i="18"/>
  <c r="K30" i="18" s="1"/>
  <c r="H50" i="18"/>
  <c r="K50" i="18" s="1"/>
  <c r="H35" i="18"/>
  <c r="K35" i="18" s="1"/>
  <c r="H91" i="18"/>
  <c r="K91" i="18" s="1"/>
  <c r="H155" i="18"/>
  <c r="K155" i="18" s="1"/>
  <c r="H149" i="18"/>
  <c r="K149" i="18" s="1"/>
  <c r="H165" i="18"/>
  <c r="K165" i="18" s="1"/>
  <c r="H110" i="18"/>
  <c r="K110" i="18" s="1"/>
  <c r="H156" i="18"/>
  <c r="K156" i="18" s="1"/>
  <c r="H71" i="18"/>
  <c r="K71" i="18" s="1"/>
  <c r="H113" i="18"/>
  <c r="K113" i="18" s="1"/>
  <c r="H139" i="18"/>
  <c r="K139" i="18" s="1"/>
  <c r="H55" i="18"/>
  <c r="K55" i="18" s="1"/>
  <c r="H204" i="18"/>
  <c r="K204" i="18" s="1"/>
  <c r="H82" i="18"/>
  <c r="K82" i="18" s="1"/>
  <c r="H117" i="18"/>
  <c r="K117" i="18" s="1"/>
  <c r="H93" i="18"/>
  <c r="K93" i="18" s="1"/>
  <c r="H51" i="18"/>
  <c r="K51" i="18" s="1"/>
  <c r="H31" i="18"/>
  <c r="K31" i="18" s="1"/>
  <c r="H161" i="18"/>
  <c r="K161" i="18" s="1"/>
  <c r="H167" i="18"/>
  <c r="K167" i="18" s="1"/>
  <c r="H115" i="18"/>
  <c r="K115" i="18" s="1"/>
  <c r="H145" i="18"/>
  <c r="K145" i="18" s="1"/>
  <c r="H199" i="18"/>
  <c r="K199" i="18" s="1"/>
  <c r="H126" i="18"/>
  <c r="K126" i="18" s="1"/>
  <c r="H68" i="18"/>
  <c r="K68" i="18" s="1"/>
  <c r="H28" i="18"/>
  <c r="K28" i="18" s="1"/>
  <c r="H58" i="18"/>
  <c r="K58" i="18" s="1"/>
  <c r="H151" i="18"/>
  <c r="K151" i="18" s="1"/>
  <c r="H97" i="18"/>
  <c r="K97" i="18" s="1"/>
  <c r="H89" i="18"/>
  <c r="K89" i="18" s="1"/>
  <c r="H39" i="18"/>
  <c r="K39" i="18" s="1"/>
  <c r="H194" i="18"/>
  <c r="K194" i="18" s="1"/>
  <c r="H102" i="18"/>
  <c r="K102" i="18" s="1"/>
  <c r="H188" i="18"/>
  <c r="K188" i="18" s="1"/>
  <c r="H70" i="18"/>
  <c r="K70" i="18" s="1"/>
  <c r="H64" i="18"/>
  <c r="K64" i="18" s="1"/>
  <c r="H209" i="18"/>
  <c r="K209" i="18" s="1"/>
  <c r="H148" i="18"/>
  <c r="K148" i="18" s="1"/>
  <c r="H120" i="18"/>
  <c r="K120" i="18" s="1"/>
  <c r="H88" i="18"/>
  <c r="K88" i="18" s="1"/>
  <c r="H67" i="18"/>
  <c r="K67" i="18" s="1"/>
  <c r="H34" i="18"/>
  <c r="K34" i="18" s="1"/>
  <c r="H66" i="18"/>
  <c r="K66" i="18" s="1"/>
  <c r="H135" i="18"/>
  <c r="K135" i="18" s="1"/>
  <c r="H62" i="18"/>
  <c r="K62" i="18" s="1"/>
  <c r="H72" i="18"/>
  <c r="K72" i="18" s="1"/>
  <c r="H198" i="18"/>
  <c r="K198" i="18" s="1"/>
  <c r="H48" i="18"/>
  <c r="K48" i="18" s="1"/>
  <c r="H183" i="18"/>
  <c r="K183" i="18" s="1"/>
  <c r="H162" i="18"/>
  <c r="K162" i="18" s="1"/>
  <c r="H94" i="18"/>
  <c r="K94" i="18" s="1"/>
  <c r="H187" i="18"/>
  <c r="K187" i="18" s="1"/>
  <c r="H136" i="18"/>
  <c r="K136" i="18" s="1"/>
  <c r="H154" i="18"/>
  <c r="K154" i="18" s="1"/>
  <c r="H125" i="18"/>
  <c r="K125" i="18" s="1"/>
  <c r="H37" i="18"/>
  <c r="K37" i="18" s="1"/>
  <c r="H29" i="18"/>
  <c r="K29" i="18" s="1"/>
  <c r="H168" i="18"/>
  <c r="K168" i="18" s="1"/>
  <c r="H170" i="18"/>
  <c r="K170" i="18" s="1"/>
  <c r="H92" i="18"/>
  <c r="K92" i="18" s="1"/>
  <c r="H124" i="18"/>
  <c r="K124" i="18" s="1"/>
  <c r="H193" i="18"/>
  <c r="K193" i="18" s="1"/>
  <c r="H32" i="18"/>
  <c r="K32" i="18" s="1"/>
  <c r="H138" i="18"/>
  <c r="K138" i="18" s="1"/>
  <c r="H171" i="18"/>
  <c r="K171" i="18" s="1"/>
  <c r="H41" i="18"/>
  <c r="K41" i="18" s="1"/>
  <c r="H206" i="18"/>
  <c r="K206" i="18" s="1"/>
  <c r="H63" i="18"/>
  <c r="K63" i="18" s="1"/>
  <c r="H207" i="18"/>
  <c r="K207" i="18" s="1"/>
  <c r="H178" i="18"/>
  <c r="K178" i="18" s="1"/>
  <c r="H180" i="18"/>
  <c r="K180" i="18" s="1"/>
  <c r="H190" i="18"/>
  <c r="K190" i="18" s="1"/>
  <c r="H56" i="18"/>
  <c r="K56" i="18" s="1"/>
  <c r="H60" i="18"/>
  <c r="K60" i="18" s="1"/>
  <c r="H191" i="18"/>
  <c r="K191" i="18" s="1"/>
  <c r="H104" i="18"/>
  <c r="K104" i="18" s="1"/>
  <c r="H103" i="18"/>
  <c r="K103" i="18" s="1"/>
  <c r="H134" i="18"/>
  <c r="K134" i="18" s="1"/>
  <c r="H201" i="18"/>
  <c r="K201" i="18" s="1"/>
  <c r="H195" i="18"/>
  <c r="K195" i="18" s="1"/>
  <c r="H109" i="18"/>
  <c r="K109" i="18" s="1"/>
  <c r="H146" i="18"/>
  <c r="K146" i="18" s="1"/>
  <c r="H52" i="18"/>
  <c r="K52" i="18" s="1"/>
  <c r="H210" i="18"/>
  <c r="K210" i="18" s="1"/>
  <c r="H116" i="18"/>
  <c r="K116" i="18" s="1"/>
  <c r="H76" i="18"/>
  <c r="K76" i="18" s="1"/>
  <c r="H159" i="18"/>
  <c r="K159" i="18" s="1"/>
  <c r="H54" i="18"/>
  <c r="K54" i="18" s="1"/>
  <c r="H189" i="18"/>
  <c r="K189" i="18" s="1"/>
  <c r="H101" i="18"/>
  <c r="K101" i="18" s="1"/>
  <c r="H42" i="18"/>
  <c r="K42" i="18" s="1"/>
  <c r="H78" i="18"/>
  <c r="K78" i="18" s="1"/>
  <c r="H152" i="18"/>
  <c r="K152" i="18" s="1"/>
  <c r="H43" i="18"/>
  <c r="K43" i="18" s="1"/>
  <c r="H53" i="18"/>
  <c r="K53" i="18" s="1"/>
  <c r="H57" i="18"/>
  <c r="K57" i="18" s="1"/>
  <c r="H137" i="18"/>
  <c r="K137" i="18" s="1"/>
  <c r="H74" i="18"/>
  <c r="K74" i="18" s="1"/>
  <c r="H86" i="18"/>
  <c r="K86" i="18" s="1"/>
  <c r="H184" i="18"/>
  <c r="K184" i="18" s="1"/>
  <c r="H107" i="18"/>
  <c r="K107" i="18" s="1"/>
  <c r="H173" i="18"/>
  <c r="K173" i="18" s="1"/>
  <c r="H177" i="18"/>
  <c r="K177" i="18" s="1"/>
  <c r="K13" i="18" l="1"/>
  <c r="K212" i="18"/>
  <c r="K14" i="18"/>
  <c r="F12" i="29" l="1"/>
  <c r="M37" i="18" l="1"/>
  <c r="M38" i="18"/>
  <c r="M59" i="18"/>
  <c r="M88" i="18"/>
  <c r="M52" i="18"/>
  <c r="M77" i="18"/>
  <c r="M196" i="18"/>
  <c r="M112" i="18"/>
  <c r="M36" i="18"/>
  <c r="M73" i="18"/>
  <c r="M155" i="18"/>
  <c r="M208" i="18"/>
  <c r="M185" i="18"/>
  <c r="M26" i="18"/>
  <c r="M149" i="18"/>
  <c r="M68" i="18"/>
  <c r="M72" i="18"/>
  <c r="M113" i="18"/>
  <c r="M53" i="18"/>
  <c r="M32" i="18"/>
  <c r="M127" i="18"/>
  <c r="M176" i="18"/>
  <c r="M147" i="18"/>
  <c r="M75" i="18"/>
  <c r="M180" i="18"/>
  <c r="M173" i="18"/>
  <c r="M116" i="18"/>
  <c r="M139" i="18"/>
  <c r="M80" i="18"/>
  <c r="M163" i="18"/>
  <c r="M76" i="18"/>
  <c r="M151" i="18"/>
  <c r="M39" i="18"/>
  <c r="M195" i="18"/>
  <c r="M182" i="18"/>
  <c r="M69" i="18"/>
  <c r="M134" i="18"/>
  <c r="M161" i="18"/>
  <c r="M183" i="18"/>
  <c r="M111" i="18"/>
  <c r="M90" i="18"/>
  <c r="M206" i="18"/>
  <c r="M211" i="18"/>
  <c r="M194" i="18"/>
  <c r="M31" i="18"/>
  <c r="M45" i="18"/>
  <c r="M89" i="18"/>
  <c r="M210" i="18"/>
  <c r="M30" i="18"/>
  <c r="M192" i="18"/>
  <c r="M202" i="18"/>
  <c r="M145" i="18"/>
  <c r="M125" i="18"/>
  <c r="M43" i="18"/>
  <c r="M165" i="18"/>
  <c r="M204" i="18"/>
  <c r="M167" i="18"/>
  <c r="M46" i="18"/>
  <c r="M159" i="18"/>
  <c r="M105" i="18"/>
  <c r="M172" i="18"/>
  <c r="M84" i="18"/>
  <c r="M33" i="18"/>
  <c r="M98" i="18"/>
  <c r="M99" i="18"/>
  <c r="M54" i="18"/>
  <c r="M138" i="18"/>
  <c r="M20" i="18"/>
  <c r="M27" i="18"/>
  <c r="M94" i="18"/>
  <c r="M28" i="18"/>
  <c r="M162" i="18"/>
  <c r="M81" i="18"/>
  <c r="M168" i="18"/>
  <c r="M119" i="18"/>
  <c r="M118" i="18"/>
  <c r="M41" i="18"/>
  <c r="M148" i="18"/>
  <c r="M78" i="18"/>
  <c r="M197" i="18"/>
  <c r="M103" i="18"/>
  <c r="M29" i="18"/>
  <c r="M157" i="18"/>
  <c r="M140" i="18"/>
  <c r="M124" i="18"/>
  <c r="M91" i="18"/>
  <c r="M34" i="18"/>
  <c r="M166" i="18"/>
  <c r="M156" i="18"/>
  <c r="M83" i="18"/>
  <c r="M169" i="18"/>
  <c r="M97" i="18"/>
  <c r="M184" i="18"/>
  <c r="M95" i="18"/>
  <c r="M181" i="18"/>
  <c r="M199" i="18"/>
  <c r="M177" i="18"/>
  <c r="M48" i="18"/>
  <c r="M187" i="18"/>
  <c r="M117" i="18"/>
  <c r="M158" i="18"/>
  <c r="M160" i="18"/>
  <c r="M35" i="18"/>
  <c r="M123" i="18"/>
  <c r="M132" i="18"/>
  <c r="M108" i="18"/>
  <c r="M44" i="18"/>
  <c r="M131" i="18"/>
  <c r="M209" i="18"/>
  <c r="M55" i="18"/>
  <c r="M129" i="18"/>
  <c r="M137" i="18"/>
  <c r="M179" i="18"/>
  <c r="M136" i="18"/>
  <c r="M22" i="18"/>
  <c r="M102" i="18"/>
  <c r="M110" i="18"/>
  <c r="M82" i="18"/>
  <c r="M190" i="18"/>
  <c r="M104" i="18"/>
  <c r="M193" i="18"/>
  <c r="M21" i="18"/>
  <c r="M101" i="18"/>
  <c r="M186" i="18"/>
  <c r="M175" i="18"/>
  <c r="M120" i="18"/>
  <c r="M201" i="18"/>
  <c r="M128" i="18"/>
  <c r="M92" i="18"/>
  <c r="M100" i="18"/>
  <c r="M40" i="18"/>
  <c r="M47" i="18"/>
  <c r="M144" i="18"/>
  <c r="M79" i="18"/>
  <c r="M60" i="18"/>
  <c r="M96" i="18"/>
  <c r="M63" i="18"/>
  <c r="M49" i="18"/>
  <c r="M189" i="18"/>
  <c r="M200" i="18"/>
  <c r="M50" i="18"/>
  <c r="M178" i="18"/>
  <c r="M109" i="18"/>
  <c r="M62" i="18"/>
  <c r="M86" i="18"/>
  <c r="M188" i="18"/>
  <c r="M135" i="18"/>
  <c r="M133" i="18"/>
  <c r="M152" i="18"/>
  <c r="M207" i="18"/>
  <c r="M121" i="18"/>
  <c r="M51" i="18"/>
  <c r="M143" i="18"/>
  <c r="M71" i="18"/>
  <c r="M56" i="18"/>
  <c r="M130" i="18"/>
  <c r="M170" i="18"/>
  <c r="M74" i="18"/>
  <c r="M66" i="18"/>
  <c r="M150" i="18"/>
  <c r="M191" i="18"/>
  <c r="M106" i="18"/>
  <c r="M198" i="18"/>
  <c r="M153" i="18"/>
  <c r="M142" i="18"/>
  <c r="M65" i="18"/>
  <c r="M146" i="18"/>
  <c r="M203" i="18"/>
  <c r="M107" i="18"/>
  <c r="M93" i="18"/>
  <c r="M141" i="18"/>
  <c r="M126" i="18"/>
  <c r="M115" i="18"/>
  <c r="M164" i="18"/>
  <c r="M24" i="18"/>
  <c r="M61" i="18"/>
  <c r="M85" i="18"/>
  <c r="M70" i="18"/>
  <c r="M57" i="18"/>
  <c r="M64" i="18"/>
  <c r="M154" i="18"/>
  <c r="M171" i="18"/>
  <c r="M25" i="18"/>
  <c r="M122" i="18"/>
  <c r="M58" i="18"/>
  <c r="M23" i="18"/>
  <c r="M174" i="18"/>
  <c r="M205" i="18"/>
  <c r="M114" i="18"/>
  <c r="M67" i="18"/>
  <c r="M87" i="18"/>
  <c r="M42" i="18"/>
  <c r="M212" i="18" l="1"/>
  <c r="M13" i="18"/>
  <c r="I170" i="18" l="1"/>
  <c r="J170" i="18" s="1"/>
  <c r="L170" i="18" s="1"/>
  <c r="N170" i="18" s="1"/>
  <c r="R170" i="18" s="1"/>
  <c r="F14" i="29"/>
  <c r="I58" i="18"/>
  <c r="J58" i="18" s="1"/>
  <c r="L58" i="18" s="1"/>
  <c r="N58" i="18" s="1"/>
  <c r="R58" i="18" s="1"/>
  <c r="I116" i="18"/>
  <c r="J116" i="18" s="1"/>
  <c r="L116" i="18" s="1"/>
  <c r="N116" i="18" s="1"/>
  <c r="R116" i="18" s="1"/>
  <c r="I31" i="18"/>
  <c r="J31" i="18" s="1"/>
  <c r="L31" i="18" s="1"/>
  <c r="N31" i="18" s="1"/>
  <c r="R31" i="18" s="1"/>
  <c r="I47" i="18"/>
  <c r="J47" i="18" s="1"/>
  <c r="L47" i="18" s="1"/>
  <c r="N47" i="18" s="1"/>
  <c r="R47" i="18" s="1"/>
  <c r="I199" i="18"/>
  <c r="J199" i="18" s="1"/>
  <c r="L199" i="18" s="1"/>
  <c r="N199" i="18" s="1"/>
  <c r="R199" i="18" s="1"/>
  <c r="I97" i="18"/>
  <c r="J97" i="18" s="1"/>
  <c r="L97" i="18" s="1"/>
  <c r="N97" i="18" s="1"/>
  <c r="R97" i="18" s="1"/>
  <c r="I167" i="18"/>
  <c r="J167" i="18" s="1"/>
  <c r="L167" i="18" s="1"/>
  <c r="N167" i="18" s="1"/>
  <c r="R167" i="18" s="1"/>
  <c r="I72" i="18"/>
  <c r="J72" i="18" s="1"/>
  <c r="L72" i="18" s="1"/>
  <c r="N72" i="18" s="1"/>
  <c r="R72" i="18" s="1"/>
  <c r="I37" i="18"/>
  <c r="J37" i="18" s="1"/>
  <c r="L37" i="18" s="1"/>
  <c r="N37" i="18" s="1"/>
  <c r="R37" i="18" s="1"/>
  <c r="I118" i="18"/>
  <c r="J118" i="18" s="1"/>
  <c r="L118" i="18" s="1"/>
  <c r="N118" i="18" s="1"/>
  <c r="R118" i="18" s="1"/>
  <c r="I23" i="18"/>
  <c r="J23" i="18" s="1"/>
  <c r="L23" i="18" s="1"/>
  <c r="N23" i="18" s="1"/>
  <c r="R23" i="18" s="1"/>
  <c r="I112" i="18"/>
  <c r="J112" i="18" s="1"/>
  <c r="L112" i="18" s="1"/>
  <c r="N112" i="18" s="1"/>
  <c r="R112" i="18" s="1"/>
  <c r="I41" i="18"/>
  <c r="J41" i="18" s="1"/>
  <c r="L41" i="18" s="1"/>
  <c r="N41" i="18" s="1"/>
  <c r="R41" i="18" s="1"/>
  <c r="I151" i="18"/>
  <c r="J151" i="18" s="1"/>
  <c r="L151" i="18" s="1"/>
  <c r="N151" i="18" s="1"/>
  <c r="R151" i="18" s="1"/>
  <c r="I194" i="18"/>
  <c r="J194" i="18" s="1"/>
  <c r="L194" i="18" s="1"/>
  <c r="N194" i="18" s="1"/>
  <c r="R194" i="18" s="1"/>
  <c r="I45" i="18"/>
  <c r="J45" i="18" s="1"/>
  <c r="L45" i="18" s="1"/>
  <c r="N45" i="18" s="1"/>
  <c r="R45" i="18" s="1"/>
  <c r="I210" i="18"/>
  <c r="J210" i="18" s="1"/>
  <c r="L210" i="18" s="1"/>
  <c r="N210" i="18" s="1"/>
  <c r="R210" i="18" s="1"/>
  <c r="I28" i="18"/>
  <c r="J28" i="18" s="1"/>
  <c r="L28" i="18" s="1"/>
  <c r="N28" i="18" s="1"/>
  <c r="R28" i="18" s="1"/>
  <c r="I111" i="18"/>
  <c r="J111" i="18" s="1"/>
  <c r="L111" i="18" s="1"/>
  <c r="N111" i="18" s="1"/>
  <c r="R111" i="18" s="1"/>
  <c r="I30" i="18"/>
  <c r="J30" i="18" s="1"/>
  <c r="L30" i="18" s="1"/>
  <c r="N30" i="18" s="1"/>
  <c r="R30" i="18" s="1"/>
  <c r="I69" i="18"/>
  <c r="J69" i="18" s="1"/>
  <c r="L69" i="18" s="1"/>
  <c r="N69" i="18" s="1"/>
  <c r="R69" i="18" s="1"/>
  <c r="I159" i="18"/>
  <c r="J159" i="18" s="1"/>
  <c r="L159" i="18" s="1"/>
  <c r="N159" i="18" s="1"/>
  <c r="R159" i="18" s="1"/>
  <c r="I196" i="18"/>
  <c r="J196" i="18" s="1"/>
  <c r="L196" i="18" s="1"/>
  <c r="N196" i="18" s="1"/>
  <c r="R196" i="18" s="1"/>
  <c r="I173" i="18"/>
  <c r="J173" i="18" s="1"/>
  <c r="L173" i="18" s="1"/>
  <c r="N173" i="18" s="1"/>
  <c r="R173" i="18" s="1"/>
  <c r="I61" i="18"/>
  <c r="J61" i="18" s="1"/>
  <c r="L61" i="18" s="1"/>
  <c r="N61" i="18" s="1"/>
  <c r="R61" i="18" s="1"/>
  <c r="I82" i="18"/>
  <c r="J82" i="18" s="1"/>
  <c r="L82" i="18" s="1"/>
  <c r="N82" i="18" s="1"/>
  <c r="R82" i="18" s="1"/>
  <c r="I202" i="18"/>
  <c r="J202" i="18" s="1"/>
  <c r="L202" i="18" s="1"/>
  <c r="N202" i="18" s="1"/>
  <c r="R202" i="18" s="1"/>
  <c r="I21" i="18"/>
  <c r="J21" i="18" s="1"/>
  <c r="L21" i="18" s="1"/>
  <c r="N21" i="18" s="1"/>
  <c r="R21" i="18" s="1"/>
  <c r="I200" i="18"/>
  <c r="J200" i="18" s="1"/>
  <c r="L200" i="18" s="1"/>
  <c r="N200" i="18" s="1"/>
  <c r="R200" i="18" s="1"/>
  <c r="I129" i="18"/>
  <c r="J129" i="18" s="1"/>
  <c r="L129" i="18" s="1"/>
  <c r="N129" i="18" s="1"/>
  <c r="R129" i="18" s="1"/>
  <c r="I138" i="18"/>
  <c r="J138" i="18" s="1"/>
  <c r="L138" i="18" s="1"/>
  <c r="N138" i="18" s="1"/>
  <c r="R138" i="18" s="1"/>
  <c r="I185" i="18"/>
  <c r="J185" i="18" s="1"/>
  <c r="L185" i="18" s="1"/>
  <c r="N185" i="18" s="1"/>
  <c r="R185" i="18" s="1"/>
  <c r="I177" i="18"/>
  <c r="J177" i="18" s="1"/>
  <c r="L177" i="18" s="1"/>
  <c r="N177" i="18" s="1"/>
  <c r="R177" i="18" s="1"/>
  <c r="I62" i="18"/>
  <c r="J62" i="18" s="1"/>
  <c r="L62" i="18" s="1"/>
  <c r="N62" i="18" s="1"/>
  <c r="R62" i="18" s="1"/>
  <c r="I162" i="18"/>
  <c r="J162" i="18" s="1"/>
  <c r="L162" i="18" s="1"/>
  <c r="N162" i="18" s="1"/>
  <c r="R162" i="18" s="1"/>
  <c r="I174" i="18"/>
  <c r="J174" i="18" s="1"/>
  <c r="L174" i="18" s="1"/>
  <c r="N174" i="18" s="1"/>
  <c r="R174" i="18" s="1"/>
  <c r="I180" i="18"/>
  <c r="J180" i="18" s="1"/>
  <c r="L180" i="18" s="1"/>
  <c r="N180" i="18" s="1"/>
  <c r="R180" i="18" s="1"/>
  <c r="I114" i="18"/>
  <c r="J114" i="18" s="1"/>
  <c r="L114" i="18" s="1"/>
  <c r="N114" i="18" s="1"/>
  <c r="R114" i="18" s="1"/>
  <c r="I131" i="18"/>
  <c r="J131" i="18" s="1"/>
  <c r="L131" i="18" s="1"/>
  <c r="N131" i="18" s="1"/>
  <c r="R131" i="18" s="1"/>
  <c r="I189" i="18"/>
  <c r="J189" i="18" s="1"/>
  <c r="L189" i="18" s="1"/>
  <c r="N189" i="18" s="1"/>
  <c r="R189" i="18" s="1"/>
  <c r="I208" i="18"/>
  <c r="J208" i="18" s="1"/>
  <c r="L208" i="18" s="1"/>
  <c r="N208" i="18" s="1"/>
  <c r="R208" i="18" s="1"/>
  <c r="I55" i="18"/>
  <c r="J55" i="18" s="1"/>
  <c r="L55" i="18" s="1"/>
  <c r="N55" i="18" s="1"/>
  <c r="R55" i="18" s="1"/>
  <c r="I91" i="18"/>
  <c r="J91" i="18" s="1"/>
  <c r="L91" i="18" s="1"/>
  <c r="N91" i="18" s="1"/>
  <c r="R91" i="18" s="1"/>
  <c r="I81" i="18"/>
  <c r="J81" i="18" s="1"/>
  <c r="L81" i="18" s="1"/>
  <c r="N81" i="18" s="1"/>
  <c r="R81" i="18" s="1"/>
  <c r="I139" i="18"/>
  <c r="J139" i="18" s="1"/>
  <c r="L139" i="18" s="1"/>
  <c r="N139" i="18" s="1"/>
  <c r="R139" i="18" s="1"/>
  <c r="I68" i="18"/>
  <c r="J68" i="18" s="1"/>
  <c r="L68" i="18" s="1"/>
  <c r="N68" i="18" s="1"/>
  <c r="R68" i="18" s="1"/>
  <c r="I206" i="18"/>
  <c r="J206" i="18" s="1"/>
  <c r="L206" i="18" s="1"/>
  <c r="N206" i="18" s="1"/>
  <c r="R206" i="18" s="1"/>
  <c r="I80" i="18"/>
  <c r="J80" i="18" s="1"/>
  <c r="L80" i="18" s="1"/>
  <c r="N80" i="18" s="1"/>
  <c r="R80" i="18" s="1"/>
  <c r="I157" i="18"/>
  <c r="J157" i="18" s="1"/>
  <c r="L157" i="18" s="1"/>
  <c r="N157" i="18" s="1"/>
  <c r="R157" i="18" s="1"/>
  <c r="I115" i="18"/>
  <c r="J115" i="18" s="1"/>
  <c r="L115" i="18" s="1"/>
  <c r="N115" i="18" s="1"/>
  <c r="R115" i="18" s="1"/>
  <c r="I181" i="18"/>
  <c r="J181" i="18" s="1"/>
  <c r="L181" i="18" s="1"/>
  <c r="N181" i="18" s="1"/>
  <c r="R181" i="18" s="1"/>
  <c r="I84" i="18"/>
  <c r="J84" i="18" s="1"/>
  <c r="L84" i="18" s="1"/>
  <c r="N84" i="18" s="1"/>
  <c r="R84" i="18" s="1"/>
  <c r="I192" i="18"/>
  <c r="J192" i="18" s="1"/>
  <c r="L192" i="18" s="1"/>
  <c r="N192" i="18" s="1"/>
  <c r="R192" i="18" s="1"/>
  <c r="I154" i="18"/>
  <c r="J154" i="18" s="1"/>
  <c r="L154" i="18" s="1"/>
  <c r="N154" i="18" s="1"/>
  <c r="R154" i="18" s="1"/>
  <c r="I75" i="18"/>
  <c r="J75" i="18" s="1"/>
  <c r="L75" i="18" s="1"/>
  <c r="N75" i="18" s="1"/>
  <c r="R75" i="18" s="1"/>
  <c r="I145" i="18"/>
  <c r="J145" i="18" s="1"/>
  <c r="L145" i="18" s="1"/>
  <c r="N145" i="18" s="1"/>
  <c r="R145" i="18" s="1"/>
  <c r="I132" i="18"/>
  <c r="J132" i="18" s="1"/>
  <c r="L132" i="18" s="1"/>
  <c r="N132" i="18" s="1"/>
  <c r="R132" i="18" s="1"/>
  <c r="I87" i="18"/>
  <c r="J87" i="18" s="1"/>
  <c r="L87" i="18" s="1"/>
  <c r="N87" i="18" s="1"/>
  <c r="R87" i="18" s="1"/>
  <c r="I42" i="18"/>
  <c r="J42" i="18" s="1"/>
  <c r="L42" i="18" s="1"/>
  <c r="N42" i="18" s="1"/>
  <c r="R42" i="18" s="1"/>
  <c r="I56" i="18"/>
  <c r="J56" i="18" s="1"/>
  <c r="I209" i="18"/>
  <c r="J209" i="18" s="1"/>
  <c r="L209" i="18" s="1"/>
  <c r="N209" i="18" s="1"/>
  <c r="R209" i="18" s="1"/>
  <c r="I197" i="18"/>
  <c r="J197" i="18" s="1"/>
  <c r="L197" i="18" s="1"/>
  <c r="N197" i="18" s="1"/>
  <c r="R197" i="18" s="1"/>
  <c r="I190" i="18"/>
  <c r="J190" i="18" s="1"/>
  <c r="L190" i="18" s="1"/>
  <c r="N190" i="18" s="1"/>
  <c r="R190" i="18" s="1"/>
  <c r="I186" i="18"/>
  <c r="J186" i="18" s="1"/>
  <c r="L186" i="18" s="1"/>
  <c r="N186" i="18" s="1"/>
  <c r="R186" i="18" s="1"/>
  <c r="I57" i="18"/>
  <c r="J57" i="18" s="1"/>
  <c r="L57" i="18" s="1"/>
  <c r="N57" i="18" s="1"/>
  <c r="R57" i="18" s="1"/>
  <c r="I70" i="18"/>
  <c r="J70" i="18" s="1"/>
  <c r="L70" i="18" s="1"/>
  <c r="N70" i="18" s="1"/>
  <c r="R70" i="18" s="1"/>
  <c r="I110" i="18"/>
  <c r="J110" i="18" s="1"/>
  <c r="L110" i="18" s="1"/>
  <c r="N110" i="18" s="1"/>
  <c r="R110" i="18" s="1"/>
  <c r="I85" i="18"/>
  <c r="J85" i="18" s="1"/>
  <c r="L85" i="18" s="1"/>
  <c r="N85" i="18" s="1"/>
  <c r="R85" i="18" s="1"/>
  <c r="I105" i="18"/>
  <c r="J105" i="18" s="1"/>
  <c r="L105" i="18" s="1"/>
  <c r="N105" i="18" s="1"/>
  <c r="R105" i="18" s="1"/>
  <c r="I204" i="18"/>
  <c r="J204" i="18" s="1"/>
  <c r="L204" i="18" s="1"/>
  <c r="N204" i="18" s="1"/>
  <c r="R204" i="18" s="1"/>
  <c r="I121" i="18"/>
  <c r="J121" i="18" s="1"/>
  <c r="L121" i="18" s="1"/>
  <c r="N121" i="18" s="1"/>
  <c r="R121" i="18" s="1"/>
  <c r="I107" i="18"/>
  <c r="J107" i="18" s="1"/>
  <c r="L107" i="18" s="1"/>
  <c r="N107" i="18" s="1"/>
  <c r="R107" i="18" s="1"/>
  <c r="I122" i="18"/>
  <c r="J122" i="18" s="1"/>
  <c r="L122" i="18" s="1"/>
  <c r="N122" i="18" s="1"/>
  <c r="R122" i="18" s="1"/>
  <c r="I60" i="18"/>
  <c r="J60" i="18" s="1"/>
  <c r="L60" i="18" s="1"/>
  <c r="N60" i="18" s="1"/>
  <c r="R60" i="18" s="1"/>
  <c r="I93" i="18"/>
  <c r="J93" i="18" s="1"/>
  <c r="L93" i="18" s="1"/>
  <c r="N93" i="18" s="1"/>
  <c r="R93" i="18" s="1"/>
  <c r="I176" i="18"/>
  <c r="J176" i="18" s="1"/>
  <c r="L176" i="18" s="1"/>
  <c r="N176" i="18" s="1"/>
  <c r="R176" i="18" s="1"/>
  <c r="I94" i="18"/>
  <c r="J94" i="18" s="1"/>
  <c r="L94" i="18" s="1"/>
  <c r="N94" i="18" s="1"/>
  <c r="R94" i="18" s="1"/>
  <c r="I50" i="18"/>
  <c r="J50" i="18" s="1"/>
  <c r="L50" i="18" s="1"/>
  <c r="N50" i="18" s="1"/>
  <c r="R50" i="18" s="1"/>
  <c r="I33" i="18"/>
  <c r="J33" i="18" s="1"/>
  <c r="L33" i="18" s="1"/>
  <c r="N33" i="18" s="1"/>
  <c r="R33" i="18" s="1"/>
  <c r="I53" i="18"/>
  <c r="J53" i="18" s="1"/>
  <c r="L53" i="18" s="1"/>
  <c r="N53" i="18" s="1"/>
  <c r="R53" i="18" s="1"/>
  <c r="I164" i="18"/>
  <c r="J164" i="18" s="1"/>
  <c r="L164" i="18" s="1"/>
  <c r="N164" i="18" s="1"/>
  <c r="R164" i="18" s="1"/>
  <c r="I89" i="18"/>
  <c r="J89" i="18" s="1"/>
  <c r="L89" i="18" s="1"/>
  <c r="N89" i="18" s="1"/>
  <c r="R89" i="18" s="1"/>
  <c r="I143" i="18"/>
  <c r="J143" i="18" s="1"/>
  <c r="L143" i="18" s="1"/>
  <c r="N143" i="18" s="1"/>
  <c r="R143" i="18" s="1"/>
  <c r="I168" i="18"/>
  <c r="J168" i="18" s="1"/>
  <c r="L168" i="18" s="1"/>
  <c r="N168" i="18" s="1"/>
  <c r="R168" i="18" s="1"/>
  <c r="I120" i="18"/>
  <c r="J120" i="18" s="1"/>
  <c r="L120" i="18" s="1"/>
  <c r="N120" i="18" s="1"/>
  <c r="R120" i="18" s="1"/>
  <c r="I201" i="18"/>
  <c r="J201" i="18" s="1"/>
  <c r="L201" i="18" s="1"/>
  <c r="N201" i="18" s="1"/>
  <c r="R201" i="18" s="1"/>
  <c r="I104" i="18"/>
  <c r="J104" i="18" s="1"/>
  <c r="L104" i="18" s="1"/>
  <c r="N104" i="18" s="1"/>
  <c r="R104" i="18" s="1"/>
  <c r="I29" i="18"/>
  <c r="J29" i="18" s="1"/>
  <c r="L29" i="18" s="1"/>
  <c r="N29" i="18" s="1"/>
  <c r="R29" i="18" s="1"/>
  <c r="I152" i="18"/>
  <c r="J152" i="18" s="1"/>
  <c r="L152" i="18" s="1"/>
  <c r="N152" i="18" s="1"/>
  <c r="R152" i="18" s="1"/>
  <c r="I193" i="18"/>
  <c r="J193" i="18" s="1"/>
  <c r="L193" i="18" s="1"/>
  <c r="N193" i="18" s="1"/>
  <c r="R193" i="18" s="1"/>
  <c r="I211" i="18"/>
  <c r="J211" i="18" s="1"/>
  <c r="L211" i="18" s="1"/>
  <c r="N211" i="18" s="1"/>
  <c r="R211" i="18" s="1"/>
  <c r="I141" i="18"/>
  <c r="J141" i="18" s="1"/>
  <c r="L141" i="18" s="1"/>
  <c r="N141" i="18" s="1"/>
  <c r="R141" i="18" s="1"/>
  <c r="I166" i="18"/>
  <c r="J166" i="18" s="1"/>
  <c r="L166" i="18" s="1"/>
  <c r="N166" i="18" s="1"/>
  <c r="R166" i="18" s="1"/>
  <c r="I95" i="18"/>
  <c r="J95" i="18" s="1"/>
  <c r="L95" i="18" s="1"/>
  <c r="N95" i="18" s="1"/>
  <c r="R95" i="18" s="1"/>
  <c r="I184" i="18"/>
  <c r="J184" i="18" s="1"/>
  <c r="L184" i="18" s="1"/>
  <c r="N184" i="18" s="1"/>
  <c r="R184" i="18" s="1"/>
  <c r="I78" i="18"/>
  <c r="J78" i="18" s="1"/>
  <c r="L78" i="18" s="1"/>
  <c r="N78" i="18" s="1"/>
  <c r="R78" i="18" s="1"/>
  <c r="I133" i="18"/>
  <c r="J133" i="18" s="1"/>
  <c r="L133" i="18" s="1"/>
  <c r="N133" i="18" s="1"/>
  <c r="R133" i="18" s="1"/>
  <c r="I150" i="18"/>
  <c r="J150" i="18" s="1"/>
  <c r="L150" i="18" s="1"/>
  <c r="N150" i="18" s="1"/>
  <c r="R150" i="18" s="1"/>
  <c r="I106" i="18"/>
  <c r="J106" i="18" s="1"/>
  <c r="L106" i="18" s="1"/>
  <c r="N106" i="18" s="1"/>
  <c r="R106" i="18" s="1"/>
  <c r="I73" i="18"/>
  <c r="J73" i="18" s="1"/>
  <c r="L73" i="18" s="1"/>
  <c r="N73" i="18" s="1"/>
  <c r="R73" i="18" s="1"/>
  <c r="I146" i="18"/>
  <c r="J146" i="18" s="1"/>
  <c r="L146" i="18" s="1"/>
  <c r="N146" i="18" s="1"/>
  <c r="R146" i="18" s="1"/>
  <c r="I163" i="18"/>
  <c r="J163" i="18" s="1"/>
  <c r="L163" i="18" s="1"/>
  <c r="N163" i="18" s="1"/>
  <c r="R163" i="18" s="1"/>
  <c r="I34" i="18"/>
  <c r="J34" i="18" s="1"/>
  <c r="L34" i="18" s="1"/>
  <c r="N34" i="18" s="1"/>
  <c r="R34" i="18" s="1"/>
  <c r="I161" i="18"/>
  <c r="J161" i="18" s="1"/>
  <c r="L161" i="18" s="1"/>
  <c r="N161" i="18" s="1"/>
  <c r="R161" i="18" s="1"/>
  <c r="I35" i="18"/>
  <c r="J35" i="18" s="1"/>
  <c r="L35" i="18" s="1"/>
  <c r="N35" i="18" s="1"/>
  <c r="R35" i="18" s="1"/>
  <c r="I134" i="18"/>
  <c r="J134" i="18" s="1"/>
  <c r="L134" i="18" s="1"/>
  <c r="N134" i="18" s="1"/>
  <c r="R134" i="18" s="1"/>
  <c r="I155" i="18"/>
  <c r="J155" i="18" s="1"/>
  <c r="L155" i="18" s="1"/>
  <c r="N155" i="18" s="1"/>
  <c r="R155" i="18" s="1"/>
  <c r="I127" i="18"/>
  <c r="J127" i="18" s="1"/>
  <c r="L127" i="18" s="1"/>
  <c r="N127" i="18" s="1"/>
  <c r="R127" i="18" s="1"/>
  <c r="I183" i="18"/>
  <c r="J183" i="18" s="1"/>
  <c r="L183" i="18" s="1"/>
  <c r="N183" i="18" s="1"/>
  <c r="R183" i="18" s="1"/>
  <c r="I113" i="18"/>
  <c r="J113" i="18" s="1"/>
  <c r="L113" i="18" s="1"/>
  <c r="N113" i="18" s="1"/>
  <c r="R113" i="18" s="1"/>
  <c r="I38" i="18"/>
  <c r="J38" i="18" s="1"/>
  <c r="L38" i="18" s="1"/>
  <c r="N38" i="18" s="1"/>
  <c r="R38" i="18" s="1"/>
  <c r="I203" i="18"/>
  <c r="J203" i="18" s="1"/>
  <c r="L203" i="18" s="1"/>
  <c r="N203" i="18" s="1"/>
  <c r="R203" i="18" s="1"/>
  <c r="I27" i="18"/>
  <c r="J27" i="18" s="1"/>
  <c r="L27" i="18" s="1"/>
  <c r="N27" i="18" s="1"/>
  <c r="R27" i="18" s="1"/>
  <c r="I77" i="18"/>
  <c r="J77" i="18" s="1"/>
  <c r="L77" i="18" s="1"/>
  <c r="N77" i="18" s="1"/>
  <c r="R77" i="18" s="1"/>
  <c r="I158" i="18"/>
  <c r="J158" i="18" s="1"/>
  <c r="L158" i="18" s="1"/>
  <c r="N158" i="18" s="1"/>
  <c r="R158" i="18" s="1"/>
  <c r="I101" i="18"/>
  <c r="J101" i="18" s="1"/>
  <c r="L101" i="18" s="1"/>
  <c r="N101" i="18" s="1"/>
  <c r="R101" i="18" s="1"/>
  <c r="I109" i="18"/>
  <c r="J109" i="18" s="1"/>
  <c r="L109" i="18" s="1"/>
  <c r="N109" i="18" s="1"/>
  <c r="R109" i="18" s="1"/>
  <c r="I98" i="18"/>
  <c r="J98" i="18" s="1"/>
  <c r="L98" i="18" s="1"/>
  <c r="N98" i="18" s="1"/>
  <c r="R98" i="18" s="1"/>
  <c r="I165" i="18"/>
  <c r="J165" i="18" s="1"/>
  <c r="L165" i="18" s="1"/>
  <c r="N165" i="18" s="1"/>
  <c r="R165" i="18" s="1"/>
  <c r="I25" i="18"/>
  <c r="J25" i="18" s="1"/>
  <c r="L25" i="18" s="1"/>
  <c r="N25" i="18" s="1"/>
  <c r="R25" i="18" s="1"/>
  <c r="I88" i="18"/>
  <c r="J88" i="18" s="1"/>
  <c r="L88" i="18" s="1"/>
  <c r="N88" i="18" s="1"/>
  <c r="R88" i="18" s="1"/>
  <c r="I92" i="18"/>
  <c r="J92" i="18" s="1"/>
  <c r="L92" i="18" s="1"/>
  <c r="N92" i="18" s="1"/>
  <c r="R92" i="18" s="1"/>
  <c r="I36" i="18"/>
  <c r="J36" i="18" s="1"/>
  <c r="L36" i="18" s="1"/>
  <c r="N36" i="18" s="1"/>
  <c r="R36" i="18" s="1"/>
  <c r="I40" i="18"/>
  <c r="J40" i="18" s="1"/>
  <c r="L40" i="18" s="1"/>
  <c r="N40" i="18" s="1"/>
  <c r="R40" i="18" s="1"/>
  <c r="I182" i="18"/>
  <c r="J182" i="18" s="1"/>
  <c r="L182" i="18" s="1"/>
  <c r="N182" i="18" s="1"/>
  <c r="R182" i="18" s="1"/>
  <c r="I96" i="18"/>
  <c r="J96" i="18" s="1"/>
  <c r="L96" i="18" s="1"/>
  <c r="N96" i="18" s="1"/>
  <c r="R96" i="18" s="1"/>
  <c r="I117" i="18"/>
  <c r="J117" i="18" s="1"/>
  <c r="L117" i="18" s="1"/>
  <c r="N117" i="18" s="1"/>
  <c r="R117" i="18" s="1"/>
  <c r="I119" i="18"/>
  <c r="J119" i="18" s="1"/>
  <c r="L119" i="18" s="1"/>
  <c r="N119" i="18" s="1"/>
  <c r="R119" i="18" s="1"/>
  <c r="I123" i="18"/>
  <c r="J123" i="18" s="1"/>
  <c r="L123" i="18" s="1"/>
  <c r="N123" i="18" s="1"/>
  <c r="R123" i="18" s="1"/>
  <c r="I90" i="18"/>
  <c r="J90" i="18" s="1"/>
  <c r="L90" i="18" s="1"/>
  <c r="N90" i="18" s="1"/>
  <c r="R90" i="18" s="1"/>
  <c r="I43" i="18"/>
  <c r="J43" i="18" s="1"/>
  <c r="L43" i="18" s="1"/>
  <c r="N43" i="18" s="1"/>
  <c r="R43" i="18" s="1"/>
  <c r="I128" i="18"/>
  <c r="J128" i="18" s="1"/>
  <c r="L128" i="18" s="1"/>
  <c r="N128" i="18" s="1"/>
  <c r="R128" i="18" s="1"/>
  <c r="I179" i="18"/>
  <c r="J179" i="18" s="1"/>
  <c r="L179" i="18" s="1"/>
  <c r="N179" i="18" s="1"/>
  <c r="R179" i="18" s="1"/>
  <c r="I137" i="18"/>
  <c r="J137" i="18" s="1"/>
  <c r="L137" i="18" s="1"/>
  <c r="N137" i="18" s="1"/>
  <c r="R137" i="18" s="1"/>
  <c r="I148" i="18"/>
  <c r="J148" i="18" s="1"/>
  <c r="L148" i="18" s="1"/>
  <c r="N148" i="18" s="1"/>
  <c r="R148" i="18" s="1"/>
  <c r="I130" i="18"/>
  <c r="J130" i="18" s="1"/>
  <c r="L130" i="18" s="1"/>
  <c r="N130" i="18" s="1"/>
  <c r="R130" i="18" s="1"/>
  <c r="I169" i="18"/>
  <c r="J169" i="18" s="1"/>
  <c r="L169" i="18" s="1"/>
  <c r="N169" i="18" s="1"/>
  <c r="R169" i="18" s="1"/>
  <c r="I59" i="18"/>
  <c r="J59" i="18" s="1"/>
  <c r="L59" i="18" s="1"/>
  <c r="N59" i="18" s="1"/>
  <c r="R59" i="18" s="1"/>
  <c r="I24" i="18"/>
  <c r="J24" i="18" s="1"/>
  <c r="L24" i="18" s="1"/>
  <c r="N24" i="18" s="1"/>
  <c r="R24" i="18" s="1"/>
  <c r="I65" i="18"/>
  <c r="J65" i="18" s="1"/>
  <c r="L65" i="18" s="1"/>
  <c r="N65" i="18" s="1"/>
  <c r="R65" i="18" s="1"/>
  <c r="I171" i="18"/>
  <c r="J171" i="18" s="1"/>
  <c r="L171" i="18" s="1"/>
  <c r="N171" i="18" s="1"/>
  <c r="R171" i="18" s="1"/>
  <c r="I178" i="18"/>
  <c r="J178" i="18" s="1"/>
  <c r="L178" i="18" s="1"/>
  <c r="N178" i="18" s="1"/>
  <c r="R178" i="18" s="1"/>
  <c r="I187" i="18"/>
  <c r="J187" i="18" s="1"/>
  <c r="L187" i="18" s="1"/>
  <c r="N187" i="18" s="1"/>
  <c r="R187" i="18" s="1"/>
  <c r="I32" i="18"/>
  <c r="J32" i="18" s="1"/>
  <c r="L32" i="18" s="1"/>
  <c r="N32" i="18" s="1"/>
  <c r="R32" i="18" s="1"/>
  <c r="I142" i="18"/>
  <c r="J142" i="18" s="1"/>
  <c r="L142" i="18" s="1"/>
  <c r="N142" i="18" s="1"/>
  <c r="R142" i="18" s="1"/>
  <c r="I64" i="18"/>
  <c r="J64" i="18" s="1"/>
  <c r="L64" i="18" s="1"/>
  <c r="N64" i="18" s="1"/>
  <c r="R64" i="18" s="1"/>
  <c r="I86" i="18"/>
  <c r="J86" i="18" s="1"/>
  <c r="L86" i="18" s="1"/>
  <c r="N86" i="18" s="1"/>
  <c r="R86" i="18" s="1"/>
  <c r="I26" i="18"/>
  <c r="J26" i="18" s="1"/>
  <c r="L26" i="18" s="1"/>
  <c r="N26" i="18" s="1"/>
  <c r="R26" i="18" s="1"/>
  <c r="I136" i="18"/>
  <c r="J136" i="18" s="1"/>
  <c r="L136" i="18" s="1"/>
  <c r="N136" i="18" s="1"/>
  <c r="R136" i="18" s="1"/>
  <c r="I124" i="18"/>
  <c r="J124" i="18" s="1"/>
  <c r="L124" i="18" s="1"/>
  <c r="N124" i="18" s="1"/>
  <c r="R124" i="18" s="1"/>
  <c r="I52" i="18"/>
  <c r="J52" i="18" s="1"/>
  <c r="L52" i="18" s="1"/>
  <c r="N52" i="18" s="1"/>
  <c r="R52" i="18" s="1"/>
  <c r="I74" i="18"/>
  <c r="J74" i="18" s="1"/>
  <c r="L74" i="18" s="1"/>
  <c r="N74" i="18" s="1"/>
  <c r="R74" i="18" s="1"/>
  <c r="I156" i="18"/>
  <c r="J156" i="18" s="1"/>
  <c r="L156" i="18" s="1"/>
  <c r="N156" i="18" s="1"/>
  <c r="R156" i="18" s="1"/>
  <c r="I147" i="18"/>
  <c r="J147" i="18" s="1"/>
  <c r="L147" i="18" s="1"/>
  <c r="N147" i="18" s="1"/>
  <c r="R147" i="18" s="1"/>
  <c r="I49" i="18"/>
  <c r="J49" i="18" s="1"/>
  <c r="L49" i="18" s="1"/>
  <c r="N49" i="18" s="1"/>
  <c r="R49" i="18" s="1"/>
  <c r="I22" i="18"/>
  <c r="J22" i="18" s="1"/>
  <c r="L22" i="18" s="1"/>
  <c r="N22" i="18" s="1"/>
  <c r="R22" i="18" s="1"/>
  <c r="I108" i="18"/>
  <c r="J108" i="18" s="1"/>
  <c r="L108" i="18" s="1"/>
  <c r="N108" i="18" s="1"/>
  <c r="R108" i="18" s="1"/>
  <c r="I125" i="18"/>
  <c r="J125" i="18" s="1"/>
  <c r="L125" i="18" s="1"/>
  <c r="N125" i="18" s="1"/>
  <c r="R125" i="18" s="1"/>
  <c r="I20" i="18"/>
  <c r="J20" i="18" s="1"/>
  <c r="I188" i="18"/>
  <c r="J188" i="18" s="1"/>
  <c r="L188" i="18" s="1"/>
  <c r="N188" i="18" s="1"/>
  <c r="R188" i="18" s="1"/>
  <c r="I39" i="18"/>
  <c r="J39" i="18" s="1"/>
  <c r="L39" i="18" s="1"/>
  <c r="N39" i="18" s="1"/>
  <c r="R39" i="18" s="1"/>
  <c r="I46" i="18"/>
  <c r="J46" i="18" s="1"/>
  <c r="L46" i="18" s="1"/>
  <c r="N46" i="18" s="1"/>
  <c r="R46" i="18" s="1"/>
  <c r="I66" i="18"/>
  <c r="J66" i="18" s="1"/>
  <c r="L66" i="18" s="1"/>
  <c r="N66" i="18" s="1"/>
  <c r="R66" i="18" s="1"/>
  <c r="I198" i="18"/>
  <c r="J198" i="18" s="1"/>
  <c r="L198" i="18" s="1"/>
  <c r="N198" i="18" s="1"/>
  <c r="R198" i="18" s="1"/>
  <c r="I103" i="18"/>
  <c r="J103" i="18" s="1"/>
  <c r="L103" i="18" s="1"/>
  <c r="N103" i="18" s="1"/>
  <c r="R103" i="18" s="1"/>
  <c r="I51" i="18"/>
  <c r="J51" i="18" s="1"/>
  <c r="L51" i="18" s="1"/>
  <c r="N51" i="18" s="1"/>
  <c r="R51" i="18" s="1"/>
  <c r="I149" i="18"/>
  <c r="J149" i="18" s="1"/>
  <c r="L149" i="18" s="1"/>
  <c r="N149" i="18" s="1"/>
  <c r="R149" i="18" s="1"/>
  <c r="I172" i="18"/>
  <c r="J172" i="18" s="1"/>
  <c r="L172" i="18" s="1"/>
  <c r="N172" i="18" s="1"/>
  <c r="R172" i="18" s="1"/>
  <c r="I48" i="18"/>
  <c r="J48" i="18" s="1"/>
  <c r="L48" i="18" s="1"/>
  <c r="N48" i="18" s="1"/>
  <c r="R48" i="18" s="1"/>
  <c r="I205" i="18"/>
  <c r="J205" i="18" s="1"/>
  <c r="L205" i="18" s="1"/>
  <c r="N205" i="18" s="1"/>
  <c r="R205" i="18" s="1"/>
  <c r="I54" i="18"/>
  <c r="J54" i="18" s="1"/>
  <c r="L54" i="18" s="1"/>
  <c r="N54" i="18" s="1"/>
  <c r="R54" i="18" s="1"/>
  <c r="I71" i="18"/>
  <c r="J71" i="18" s="1"/>
  <c r="L71" i="18" s="1"/>
  <c r="N71" i="18" s="1"/>
  <c r="R71" i="18" s="1"/>
  <c r="I44" i="18"/>
  <c r="J44" i="18" s="1"/>
  <c r="L44" i="18" s="1"/>
  <c r="N44" i="18" s="1"/>
  <c r="R44" i="18" s="1"/>
  <c r="I191" i="18"/>
  <c r="J191" i="18" s="1"/>
  <c r="L191" i="18" s="1"/>
  <c r="N191" i="18" s="1"/>
  <c r="R191" i="18" s="1"/>
  <c r="I76" i="18"/>
  <c r="J76" i="18" s="1"/>
  <c r="L76" i="18" s="1"/>
  <c r="N76" i="18" s="1"/>
  <c r="R76" i="18" s="1"/>
  <c r="I140" i="18"/>
  <c r="J140" i="18" s="1"/>
  <c r="L140" i="18" s="1"/>
  <c r="N140" i="18" s="1"/>
  <c r="R140" i="18" s="1"/>
  <c r="I126" i="18"/>
  <c r="J126" i="18" s="1"/>
  <c r="L126" i="18" s="1"/>
  <c r="N126" i="18" s="1"/>
  <c r="R126" i="18" s="1"/>
  <c r="I175" i="18"/>
  <c r="J175" i="18" s="1"/>
  <c r="L175" i="18" s="1"/>
  <c r="N175" i="18" s="1"/>
  <c r="R175" i="18" s="1"/>
  <c r="I195" i="18"/>
  <c r="J195" i="18" s="1"/>
  <c r="L195" i="18" s="1"/>
  <c r="N195" i="18" s="1"/>
  <c r="R195" i="18" s="1"/>
  <c r="I153" i="18"/>
  <c r="J153" i="18" s="1"/>
  <c r="L153" i="18" s="1"/>
  <c r="N153" i="18" s="1"/>
  <c r="R153" i="18" s="1"/>
  <c r="I102" i="18"/>
  <c r="J102" i="18" s="1"/>
  <c r="L102" i="18" s="1"/>
  <c r="N102" i="18" s="1"/>
  <c r="R102" i="18" s="1"/>
  <c r="I207" i="18"/>
  <c r="J207" i="18" s="1"/>
  <c r="L207" i="18" s="1"/>
  <c r="N207" i="18" s="1"/>
  <c r="R207" i="18" s="1"/>
  <c r="I79" i="18"/>
  <c r="J79" i="18" s="1"/>
  <c r="L79" i="18" s="1"/>
  <c r="N79" i="18" s="1"/>
  <c r="R79" i="18" s="1"/>
  <c r="I100" i="18"/>
  <c r="J100" i="18" s="1"/>
  <c r="L100" i="18" s="1"/>
  <c r="N100" i="18" s="1"/>
  <c r="R100" i="18" s="1"/>
  <c r="I99" i="18"/>
  <c r="J99" i="18" s="1"/>
  <c r="L99" i="18" s="1"/>
  <c r="N99" i="18" s="1"/>
  <c r="R99" i="18" s="1"/>
  <c r="I63" i="18"/>
  <c r="J63" i="18" s="1"/>
  <c r="L63" i="18" s="1"/>
  <c r="N63" i="18" s="1"/>
  <c r="R63" i="18" s="1"/>
  <c r="I160" i="18"/>
  <c r="J160" i="18" s="1"/>
  <c r="L160" i="18" s="1"/>
  <c r="N160" i="18" s="1"/>
  <c r="R160" i="18" s="1"/>
  <c r="I83" i="18"/>
  <c r="J83" i="18" s="1"/>
  <c r="L83" i="18" s="1"/>
  <c r="N83" i="18" s="1"/>
  <c r="R83" i="18" s="1"/>
  <c r="I135" i="18"/>
  <c r="J135" i="18" s="1"/>
  <c r="L135" i="18" s="1"/>
  <c r="N135" i="18" s="1"/>
  <c r="R135" i="18" s="1"/>
  <c r="I67" i="18"/>
  <c r="J67" i="18" s="1"/>
  <c r="L67" i="18" s="1"/>
  <c r="N67" i="18" s="1"/>
  <c r="R67" i="18" s="1"/>
  <c r="I144" i="18"/>
  <c r="J144" i="18" s="1"/>
  <c r="L144" i="18" s="1"/>
  <c r="N144" i="18" s="1"/>
  <c r="R144" i="18" s="1"/>
  <c r="J14" i="18" l="1"/>
  <c r="L20" i="18"/>
  <c r="J212" i="18"/>
  <c r="J13" i="18"/>
  <c r="L56" i="18"/>
  <c r="N56" i="18" l="1"/>
  <c r="L13" i="18"/>
  <c r="L212" i="18"/>
  <c r="L14" i="18"/>
  <c r="N20" i="18"/>
  <c r="N14" i="18" l="1"/>
  <c r="R20" i="18"/>
  <c r="R56" i="18"/>
  <c r="R13" i="18" s="1"/>
  <c r="N13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<sst xmlns="http://schemas.openxmlformats.org/spreadsheetml/2006/main" count="417" uniqueCount="101">
  <si>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</si>
  <si>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</si>
  <si>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</si>
  <si>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</si>
  <si>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</si>
  <si>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</si>
  <si>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</si>
  <si>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</si>
  <si>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</si>
  <si>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</si>
  <si>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</si>
  <si>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</si>
  <si>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</si>
  <si>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</si>
  <si>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</si>
  <si>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</si>
  <si>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</si>
  <si>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</si>
  <si>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</si>
  <si>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</si>
  <si>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</si>
  <si>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</si>
  <si>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</si>
  <si>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</si>
  <si>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</si>
  <si>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</si>
  <si>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</si>
  <si>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</si>
  <si>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</si>
  <si>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</si>
  <si>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</si>
  <si>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</si>
  <si>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</si>
  <si>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</si>
  <si>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</si>
  <si>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</si>
  <si>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</si>
  <si>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</si>
  <si>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</si>
  <si>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</si>
  <si>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</si>
  <si>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</si>
  <si>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</si>
  <si>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</si>
  <si>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</si>
  <si>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</si>
  <si>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</si>
  <si>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</si>
  <si>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</si>
  <si>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</si>
  <si>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</si>
  <si>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</si>
  <si>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</si>
  <si>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</si>
  <si>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</si>
  <si>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</si>
  <si>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</si>
  <si>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</si>
  <si>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</si>
  <si>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</si>
  <si>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</si>
  <si>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</si>
  <si>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</si>
  <si>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</si>
  <si>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</si>
  <si>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</si>
  <si>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</si>
  <si>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</si>
  <si>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</si>
  <si>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</si>
  <si>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</si>
  <si>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</si>
  <si>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</si>
  <si>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</si>
  <si>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</si>
  <si>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</si>
  <si>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</si>
  <si>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</si>
  <si>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</si>
  <si>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</si>
  <si>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</si>
  <si>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</si>
  <si>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</si>
  <si>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</si>
  <si>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</si>
  <si>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</si>
  <si>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</si>
  <si>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</si>
  <si>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</si>
  <si>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</si>
  <si>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</si>
  <si>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</si>
  <si>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</si>
  <si>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</si>
  <si>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</si>
  <si>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Network Customer True-Up (Schedule 1 charges)</t>
  </si>
  <si>
    <t xml:space="preserve"> Tax True Up</t>
  </si>
  <si>
    <t>2023 True Up Including Interest</t>
  </si>
  <si>
    <r>
      <t>2025 True-Up
(</t>
    </r>
    <r>
      <rPr>
        <sz val="10"/>
        <rFont val="Arial"/>
        <family val="2"/>
      </rPr>
      <t>w/o Interest)</t>
    </r>
  </si>
  <si>
    <t>2025 Interest</t>
  </si>
  <si>
    <t>Total 2025
True-Up Surcharge / (Refund)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</si>
</sst>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9" xfId="0" applyBorder="1"/>
    <xf numFmtId="0" fontId="9" fillId="3" borderId="20" xfId="0" quotePrefix="1" applyFont="1" applyFill="1" applyBorder="1" applyAlignment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>
      <alignment horizontal="left"/>
    </xf>
    <xf numFmtId="0" fontId="0" fillId="0" borderId="18" xfId="0" applyBorder="1"/>
    <xf numFmtId="0" fontId="0" fillId="0" borderId="26" xfId="0" applyBorder="1"/>
    <xf numFmtId="0" fontId="9" fillId="0" borderId="20" xfId="0" quotePrefix="1" applyFont="1" applyBorder="1" applyAlignment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5" xfId="0" applyBorder="1"/>
    <xf numFmtId="0" fontId="21" fillId="6" borderId="0" xfId="0" applyFont="1" applyFill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center"/>
    </xf>
    <xf numFmtId="167" fontId="0" fillId="4" borderId="24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2" xfId="0" quotePrefix="1" applyFont="1" applyBorder="1" applyAlignment="1">
      <alignment horizontal="center"/>
    </xf>
    <xf numFmtId="164" fontId="4" fillId="0" borderId="21" xfId="0" quotePrefix="1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164" fontId="4" fillId="5" borderId="22" xfId="0" quotePrefix="1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8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3" xfId="0" applyNumberFormat="1" applyBorder="1" applyAlignment="1">
      <alignment horizontal="center"/>
    </xf>
    <xf numFmtId="14" fontId="1" fillId="0" borderId="33" xfId="0" applyNumberFormat="1" applyFont="1" applyBorder="1"/>
    <xf numFmtId="14" fontId="7" fillId="2" borderId="33" xfId="0" applyNumberFormat="1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4" fontId="1" fillId="0" borderId="0" xfId="0" applyNumberFormat="1" applyFont="1"/>
    <xf numFmtId="0" fontId="0" fillId="0" borderId="33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7" fontId="7" fillId="6" borderId="24" xfId="0" applyNumberFormat="1" applyFont="1" applyFill="1" applyBorder="1" applyAlignment="1">
      <alignment horizontal="center"/>
    </xf>
    <xf numFmtId="164" fontId="4" fillId="0" borderId="14" xfId="0" quotePrefix="1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2" xfId="0" quotePrefix="1" applyNumberFormat="1" applyFont="1" applyBorder="1" applyAlignment="1">
      <alignment horizontal="center" vertical="center" wrapText="1"/>
    </xf>
    <xf numFmtId="1" fontId="8" fillId="6" borderId="8" xfId="0" applyNumberFormat="1" applyFont="1" applyFill="1" applyBorder="1" applyAlignment="1">
      <alignment horizontal="center"/>
    </xf>
    <xf numFmtId="164" fontId="0" fillId="0" borderId="26" xfId="0" applyNumberFormat="1" applyBorder="1" applyAlignment="1">
      <alignment horizontal="right"/>
    </xf>
    <xf numFmtId="164" fontId="5" fillId="0" borderId="8" xfId="0" applyNumberFormat="1" applyFont="1" applyBorder="1"/>
    <xf numFmtId="164" fontId="1" fillId="0" borderId="26" xfId="0" applyNumberFormat="1" applyFont="1" applyBorder="1" applyAlignment="1">
      <alignment horizontal="right"/>
    </xf>
    <xf numFmtId="0" fontId="0" fillId="0" borderId="34" xfId="0" applyBorder="1"/>
    <xf numFmtId="0" fontId="0" fillId="0" borderId="35" xfId="0" applyBorder="1"/>
    <xf numFmtId="0" fontId="0" fillId="0" borderId="34" xfId="0" pivotButton="1" applyBorder="1"/>
    <xf numFmtId="0" fontId="0" fillId="0" borderId="36" xfId="0" applyBorder="1"/>
    <xf numFmtId="17" fontId="0" fillId="0" borderId="34" xfId="0" applyNumberFormat="1" applyBorder="1"/>
    <xf numFmtId="17" fontId="0" fillId="0" borderId="37" xfId="0" applyNumberFormat="1" applyBorder="1"/>
    <xf numFmtId="17" fontId="0" fillId="0" borderId="38" xfId="0" applyNumberFormat="1" applyBorder="1"/>
    <xf numFmtId="166" fontId="0" fillId="0" borderId="34" xfId="0" applyNumberFormat="1" applyBorder="1"/>
    <xf numFmtId="166" fontId="0" fillId="0" borderId="37" xfId="0" applyNumberFormat="1" applyBorder="1"/>
    <xf numFmtId="166" fontId="0" fillId="0" borderId="38" xfId="0" applyNumberFormat="1" applyBorder="1"/>
    <xf numFmtId="0" fontId="0" fillId="0" borderId="39" xfId="0" applyBorder="1"/>
    <xf numFmtId="0" fontId="0" fillId="0" borderId="40" xfId="0" applyBorder="1"/>
    <xf numFmtId="166" fontId="14" fillId="0" borderId="40" xfId="0" applyNumberFormat="1" applyFont="1" applyBorder="1"/>
    <xf numFmtId="166" fontId="14" fillId="0" borderId="0" xfId="0" applyNumberFormat="1" applyFont="1"/>
    <xf numFmtId="166" fontId="14" fillId="0" borderId="41" xfId="0" applyNumberFormat="1" applyFont="1" applyBorder="1"/>
    <xf numFmtId="166" fontId="0" fillId="0" borderId="40" xfId="0" applyNumberFormat="1" applyBorder="1"/>
    <xf numFmtId="166" fontId="0" fillId="0" borderId="0" xfId="0" applyNumberFormat="1"/>
    <xf numFmtId="166" fontId="0" fillId="0" borderId="41" xfId="0" applyNumberFormat="1" applyBorder="1"/>
    <xf numFmtId="166" fontId="14" fillId="0" borderId="34" xfId="0" applyNumberFormat="1" applyFont="1" applyBorder="1"/>
    <xf numFmtId="166" fontId="14" fillId="0" borderId="37" xfId="0" applyNumberFormat="1" applyFont="1" applyBorder="1"/>
    <xf numFmtId="166" fontId="14" fillId="0" borderId="38" xfId="0" applyNumberFormat="1" applyFont="1" applyBorder="1"/>
    <xf numFmtId="0" fontId="0" fillId="0" borderId="42" xfId="0" applyBorder="1"/>
    <xf numFmtId="0" fontId="0" fillId="0" borderId="43" xfId="0" applyBorder="1"/>
    <xf numFmtId="166" fontId="0" fillId="0" borderId="42" xfId="0" applyNumberFormat="1" applyBorder="1"/>
    <xf numFmtId="166" fontId="0" fillId="0" borderId="44" xfId="0" applyNumberFormat="1" applyBorder="1"/>
    <xf numFmtId="166" fontId="0" fillId="0" borderId="45" xfId="0" applyNumberFormat="1" applyBorder="1"/>
    <xf numFmtId="0" fontId="3" fillId="0" borderId="46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7603935183" createdVersion="6" refreshedVersion="8" recordCount="192" xr:uid="{00000000-000A-0000-FFFF-FFFFDA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4.6134187490356018" maxValue="4.6134187490356018"/>
    </cacheField>
    <cacheField name="Actual True-Up Rate" numFmtId="164">
      <sharedItems containsSemiMixedTypes="0" containsString="0" containsNumber="1" minValue="4.8679546082756167" maxValue="4.8679546082756167"/>
    </cacheField>
    <cacheField name="True-Up Charge" numFmtId="164">
      <sharedItems containsSemiMixedTypes="0" containsString="0" containsNumber="1" minValue="0" maxValue="20007.293440012785"/>
    </cacheField>
    <cacheField name="Invoiced*** Charge (proj.)" numFmtId="164">
      <sharedItems containsSemiMixedTypes="0" containsString="0" containsNumber="1" minValue="0" maxValue="18961.151058536325"/>
    </cacheField>
    <cacheField name="True-Up w/o Interest" numFmtId="164">
      <sharedItems containsSemiMixedTypes="0" containsString="0" containsNumber="1" minValue="0" maxValue="1046.1423814764603"/>
    </cacheField>
    <cacheField name="Interest" numFmtId="164">
      <sharedItems containsSemiMixedTypes="0" containsString="0" containsNumber="1" minValue="0" maxValue="74.905327715989074"/>
    </cacheField>
    <cacheField name="2023 True Up Including Interest" numFmtId="164">
      <sharedItems containsSemiMixedTypes="0" containsString="0" containsNumber="1" minValue="0" maxValue="1121.0477091924495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0" maxValue="1121.04770919244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4.6134187490356018"/>
    <n v="4.8679546082756167"/>
    <n v="14316.654502938589"/>
    <n v="13568.064540913705"/>
    <n v="748.58996202488379"/>
    <n v="53.600138397256423"/>
    <n v="802.19010042214018"/>
    <n v="0"/>
    <n v="0"/>
    <n v="0"/>
    <n v="802.19010042214018"/>
  </r>
  <r>
    <x v="1"/>
    <d v="2025-03-05T00:00:00"/>
    <d v="2025-03-24T00:00:00"/>
    <x v="0"/>
    <n v="9"/>
    <n v="3221"/>
    <n v="4.6134187490356018"/>
    <n v="4.8679546082756167"/>
    <n v="15679.681793255761"/>
    <n v="14859.821790643673"/>
    <n v="819.86000261208756"/>
    <n v="58.703177755036698"/>
    <n v="878.56318036712423"/>
    <n v="0"/>
    <n v="0"/>
    <n v="0"/>
    <n v="878.56318036712423"/>
  </r>
  <r>
    <x v="2"/>
    <d v="2025-04-03T00:00:00"/>
    <d v="2025-04-24T00:00:00"/>
    <x v="0"/>
    <n v="9"/>
    <n v="2419"/>
    <n v="4.6134187490356018"/>
    <n v="4.8679546082756167"/>
    <n v="11775.582197418717"/>
    <n v="11159.859953917121"/>
    <n v="615.72224350159559"/>
    <n v="44.086615023108905"/>
    <n v="659.80885852470453"/>
    <n v="0"/>
    <n v="0"/>
    <n v="0"/>
    <n v="659.80885852470453"/>
  </r>
  <r>
    <x v="3"/>
    <d v="2025-05-05T00:00:00"/>
    <d v="2025-05-26T00:00:00"/>
    <x v="0"/>
    <n v="9"/>
    <n v="2717"/>
    <n v="4.6134187490356018"/>
    <n v="4.8679546082756167"/>
    <n v="13226.232670684851"/>
    <n v="12534.65874112973"/>
    <n v="691.57392955512114"/>
    <n v="49.517706911032192"/>
    <n v="741.09163646615332"/>
    <n v="0"/>
    <n v="0"/>
    <n v="0"/>
    <n v="741.09163646615332"/>
  </r>
  <r>
    <x v="4"/>
    <d v="2025-06-04T00:00:00"/>
    <d v="2025-06-24T00:00:00"/>
    <x v="0"/>
    <n v="9"/>
    <n v="3378"/>
    <n v="4.6134187490356018"/>
    <n v="4.8679546082756167"/>
    <n v="16443.950666755034"/>
    <n v="15584.128534242263"/>
    <n v="859.82213251277062"/>
    <n v="61.564524823506346"/>
    <n v="921.38665733627693"/>
    <n v="0"/>
    <n v="0"/>
    <n v="0"/>
    <n v="921.38665733627693"/>
  </r>
  <r>
    <x v="5"/>
    <d v="2025-07-03T00:00:00"/>
    <d v="2025-07-24T00:00:00"/>
    <x v="0"/>
    <n v="9"/>
    <n v="3824"/>
    <n v="4.6134187490356018"/>
    <n v="4.8679546082756167"/>
    <n v="18615.058422045957"/>
    <n v="17641.71329631214"/>
    <n v="973.34512573381653"/>
    <n v="69.69293751482779"/>
    <n v="1043.0380632486442"/>
    <n v="0"/>
    <n v="0"/>
    <n v="0"/>
    <n v="1043.0380632486442"/>
  </r>
  <r>
    <x v="6"/>
    <d v="2025-08-05T00:00:00"/>
    <d v="2025-08-25T00:00:00"/>
    <x v="0"/>
    <n v="9"/>
    <n v="4110"/>
    <n v="4.6134187490356018"/>
    <n v="4.8679546082756167"/>
    <n v="20007.293440012785"/>
    <n v="18961.151058536325"/>
    <n v="1046.1423814764603"/>
    <n v="74.905327715989074"/>
    <n v="1121.0477091924495"/>
    <n v="0"/>
    <n v="0"/>
    <n v="0"/>
    <n v="1121.0477091924495"/>
  </r>
  <r>
    <x v="7"/>
    <d v="2025-09-04T00:00:00"/>
    <d v="2025-09-24T00:00:00"/>
    <x v="0"/>
    <n v="9"/>
    <n v="4096"/>
    <n v="4.6134187490356018"/>
    <n v="4.8679546082756167"/>
    <n v="19939.142075496926"/>
    <n v="18896.563196049825"/>
    <n v="1042.5788794471009"/>
    <n v="74.650175748100054"/>
    <n v="1117.229055195201"/>
    <n v="0"/>
    <n v="0"/>
    <n v="0"/>
    <n v="1117.229055195201"/>
  </r>
  <r>
    <x v="8"/>
    <d v="2025-10-03T00:00:00"/>
    <d v="2025-10-24T00:00:00"/>
    <x v="0"/>
    <n v="9"/>
    <n v="3657"/>
    <n v="4.6134187490356018"/>
    <n v="4.8679546082756167"/>
    <n v="17802.110002463931"/>
    <n v="16871.272365223194"/>
    <n v="930.83763724073651"/>
    <n v="66.649339040723135"/>
    <n v="997.48697628145965"/>
    <n v="0"/>
    <n v="0"/>
    <n v="0"/>
    <n v="997.48697628145965"/>
  </r>
  <r>
    <x v="9"/>
    <d v="2025-11-05T00:00:00"/>
    <d v="2025-11-24T00:00:00"/>
    <x v="0"/>
    <n v="9"/>
    <n v="3261"/>
    <n v="4.6134187490356018"/>
    <n v="4.8679546082756167"/>
    <n v="15874.399977586785"/>
    <n v="15044.358540605097"/>
    <n v="830.04143698168809"/>
    <n v="59.432183377576735"/>
    <n v="889.47362035926483"/>
    <n v="0"/>
    <n v="0"/>
    <n v="0"/>
    <n v="889.47362035926483"/>
  </r>
  <r>
    <x v="10"/>
    <d v="2025-12-03T00:00:00"/>
    <d v="2025-12-24T00:00:00"/>
    <x v="0"/>
    <n v="9"/>
    <n v="2449"/>
    <n v="4.6134187490356018"/>
    <n v="4.8679546082756167"/>
    <n v="11921.620835666985"/>
    <n v="11298.262516388189"/>
    <n v="623.35831927879553"/>
    <n v="44.633369240013934"/>
    <n v="667.9916885188095"/>
    <n v="0"/>
    <n v="0"/>
    <n v="0"/>
    <n v="667.9916885188095"/>
  </r>
  <r>
    <x v="11"/>
    <d v="2026-01-06T00:00:00"/>
    <d v="2026-01-26T00:00:00"/>
    <x v="0"/>
    <n v="9"/>
    <n v="2817"/>
    <n v="4.6134187490356018"/>
    <n v="4.8679546082756167"/>
    <n v="13713.028131512412"/>
    <n v="12996.00061603329"/>
    <n v="717.02751547912158"/>
    <n v="51.340220967382294"/>
    <n v="768.36773644650384"/>
    <n v="0"/>
    <n v="0"/>
    <n v="0"/>
    <n v="768.36773644650384"/>
  </r>
  <r>
    <x v="0"/>
    <d v="2025-02-05T00:00:00"/>
    <d v="2025-02-24T00:00:00"/>
    <x v="1"/>
    <n v="9"/>
    <n v="3414"/>
    <n v="4.6134187490356018"/>
    <n v="4.8679546082756167"/>
    <n v="16619.197032652955"/>
    <n v="15750.211609207545"/>
    <n v="868.98542344541056"/>
    <n v="62.220629883792398"/>
    <n v="931.20605332920297"/>
    <n v="0"/>
    <n v="0"/>
    <n v="0"/>
    <n v="931.20605332920297"/>
  </r>
  <r>
    <x v="1"/>
    <d v="2025-03-05T00:00:00"/>
    <d v="2025-03-24T00:00:00"/>
    <x v="1"/>
    <n v="9"/>
    <n v="3330"/>
    <n v="4.6134187490356018"/>
    <n v="4.8679546082756167"/>
    <n v="16210.288845557803"/>
    <n v="15362.684434288554"/>
    <n v="847.60441126924889"/>
    <n v="60.689718076458306"/>
    <n v="908.29412934570723"/>
    <n v="0"/>
    <n v="0"/>
    <n v="0"/>
    <n v="908.29412934570723"/>
  </r>
  <r>
    <x v="2"/>
    <d v="2025-04-03T00:00:00"/>
    <d v="2025-04-24T00:00:00"/>
    <x v="1"/>
    <n v="9"/>
    <n v="2483"/>
    <n v="4.6134187490356018"/>
    <n v="4.8679546082756167"/>
    <n v="12087.131292348357"/>
    <n v="11455.118753855399"/>
    <n v="632.0125384929579"/>
    <n v="45.253024019172962"/>
    <n v="677.26556251213083"/>
    <n v="0"/>
    <n v="0"/>
    <n v="0"/>
    <n v="677.26556251213083"/>
  </r>
  <r>
    <x v="3"/>
    <d v="2025-05-05T00:00:00"/>
    <d v="2025-05-26T00:00:00"/>
    <x v="1"/>
    <n v="9"/>
    <n v="2549"/>
    <n v="4.6134187490356018"/>
    <n v="4.8679546082756167"/>
    <n v="12408.416296494546"/>
    <n v="11759.604391291748"/>
    <n v="648.81190520279779"/>
    <n v="46.455883296364028"/>
    <n v="695.26778849916184"/>
    <n v="0"/>
    <n v="0"/>
    <n v="0"/>
    <n v="695.26778849916184"/>
  </r>
  <r>
    <x v="4"/>
    <d v="2025-06-04T00:00:00"/>
    <d v="2025-06-24T00:00:00"/>
    <x v="1"/>
    <n v="9"/>
    <n v="3007"/>
    <n v="4.6134187490356018"/>
    <n v="4.8679546082756167"/>
    <n v="14637.939507084779"/>
    <n v="13872.550178350055"/>
    <n v="765.38932873472368"/>
    <n v="54.802997674447482"/>
    <n v="820.19232640917119"/>
    <n v="0"/>
    <n v="0"/>
    <n v="0"/>
    <n v="820.19232640917119"/>
  </r>
  <r>
    <x v="5"/>
    <d v="2025-07-03T00:00:00"/>
    <d v="2025-07-24T00:00:00"/>
    <x v="1"/>
    <n v="9"/>
    <n v="3377"/>
    <n v="4.6134187490356018"/>
    <n v="4.8679546082756167"/>
    <n v="16439.082712146759"/>
    <n v="15579.515115493226"/>
    <n v="859.56759665353275"/>
    <n v="61.546299682942852"/>
    <n v="921.11389633647559"/>
    <n v="0"/>
    <n v="0"/>
    <n v="0"/>
    <n v="921.11389633647559"/>
  </r>
  <r>
    <x v="6"/>
    <d v="2025-08-05T00:00:00"/>
    <d v="2025-08-25T00:00:00"/>
    <x v="1"/>
    <n v="9"/>
    <n v="3723"/>
    <n v="4.6134187490356018"/>
    <n v="4.8679546082756167"/>
    <n v="18123.395006610121"/>
    <n v="17175.758002659546"/>
    <n v="947.63700395057458"/>
    <n v="67.852198317914201"/>
    <n v="1015.4892022684887"/>
    <n v="0"/>
    <n v="0"/>
    <n v="0"/>
    <n v="1015.4892022684887"/>
  </r>
  <r>
    <x v="7"/>
    <d v="2025-09-04T00:00:00"/>
    <d v="2025-09-24T00:00:00"/>
    <x v="1"/>
    <n v="9"/>
    <n v="3715"/>
    <n v="4.6134187490356018"/>
    <n v="4.8679546082756167"/>
    <n v="18084.451369743914"/>
    <n v="17138.850652667261"/>
    <n v="945.60071707665338"/>
    <n v="67.70639719340619"/>
    <n v="1013.3071142700596"/>
    <n v="0"/>
    <n v="0"/>
    <n v="0"/>
    <n v="1013.3071142700596"/>
  </r>
  <r>
    <x v="8"/>
    <d v="2025-10-03T00:00:00"/>
    <d v="2025-10-24T00:00:00"/>
    <x v="1"/>
    <n v="9"/>
    <n v="3256"/>
    <n v="4.6134187490356018"/>
    <n v="4.8679546082756167"/>
    <n v="15850.060204545407"/>
    <n v="15021.291446859919"/>
    <n v="828.7687576854878"/>
    <n v="59.341057674759234"/>
    <n v="888.10981536024701"/>
    <n v="0"/>
    <n v="0"/>
    <n v="0"/>
    <n v="888.10981536024701"/>
  </r>
  <r>
    <x v="9"/>
    <d v="2025-11-05T00:00:00"/>
    <d v="2025-11-24T00:00:00"/>
    <x v="1"/>
    <n v="9"/>
    <n v="3014"/>
    <n v="4.6134187490356018"/>
    <n v="4.8679546082756167"/>
    <n v="14672.015189342708"/>
    <n v="13904.844109593303"/>
    <n v="767.17107974940518"/>
    <n v="54.930573658391992"/>
    <n v="822.10165340779713"/>
    <n v="0"/>
    <n v="0"/>
    <n v="0"/>
    <n v="822.10165340779713"/>
  </r>
  <r>
    <x v="10"/>
    <d v="2025-12-03T00:00:00"/>
    <d v="2025-12-24T00:00:00"/>
    <x v="1"/>
    <n v="9"/>
    <n v="2338"/>
    <n v="4.6134187490356018"/>
    <n v="4.8679546082756167"/>
    <n v="11381.277874148393"/>
    <n v="10786.173035245238"/>
    <n v="595.10483890315481"/>
    <n v="42.610378637465324"/>
    <n v="637.71521754062019"/>
    <n v="0"/>
    <n v="0"/>
    <n v="0"/>
    <n v="637.71521754062019"/>
  </r>
  <r>
    <x v="11"/>
    <d v="2026-01-06T00:00:00"/>
    <d v="2026-01-26T00:00:00"/>
    <x v="1"/>
    <n v="9"/>
    <n v="2969"/>
    <n v="4.6134187490356018"/>
    <n v="4.8679546082756167"/>
    <n v="14452.957231970306"/>
    <n v="13697.240265886701"/>
    <n v="755.71696608360435"/>
    <n v="54.110442333034449"/>
    <n v="809.82740841663883"/>
    <n v="0"/>
    <n v="0"/>
    <n v="0"/>
    <n v="809.82740841663883"/>
  </r>
  <r>
    <x v="0"/>
    <d v="2025-02-05T00:00:00"/>
    <d v="2025-02-24T00:00:00"/>
    <x v="2"/>
    <n v="9"/>
    <n v="211"/>
    <n v="4.6134187490356018"/>
    <n v="4.8679546082756167"/>
    <n v="1027.138422346155"/>
    <n v="973.43135604651195"/>
    <n v="53.707066299643088"/>
    <n v="3.8455046588987098"/>
    <n v="57.5525709585418"/>
    <n v="0"/>
    <n v="0"/>
    <n v="0"/>
    <n v="57.5525709585418"/>
  </r>
  <r>
    <x v="1"/>
    <d v="2025-03-05T00:00:00"/>
    <d v="2025-03-24T00:00:00"/>
    <x v="2"/>
    <n v="9"/>
    <n v="200"/>
    <n v="4.6134187490356018"/>
    <n v="4.8679546082756167"/>
    <n v="973.59092165512334"/>
    <n v="922.68374980712031"/>
    <n v="50.907171848003031"/>
    <n v="3.6450281127001989"/>
    <n v="54.552199960703227"/>
    <n v="0"/>
    <n v="0"/>
    <n v="0"/>
    <n v="54.552199960703227"/>
  </r>
  <r>
    <x v="2"/>
    <d v="2025-04-03T00:00:00"/>
    <d v="2025-04-24T00:00:00"/>
    <x v="2"/>
    <n v="9"/>
    <n v="122"/>
    <n v="4.6134187490356018"/>
    <n v="4.8679546082756167"/>
    <n v="593.89046220962518"/>
    <n v="562.83708738234338"/>
    <n v="31.0533748272818"/>
    <n v="2.2234671487471211"/>
    <n v="33.276841976028919"/>
    <n v="0"/>
    <n v="0"/>
    <n v="0"/>
    <n v="33.276841976028919"/>
  </r>
  <r>
    <x v="3"/>
    <d v="2025-05-05T00:00:00"/>
    <d v="2025-05-26T00:00:00"/>
    <x v="2"/>
    <n v="9"/>
    <n v="109"/>
    <n v="4.6134187490356018"/>
    <n v="4.8679546082756167"/>
    <n v="530.60705230204223"/>
    <n v="502.86264364488062"/>
    <n v="27.744408657161614"/>
    <n v="1.9865403214216084"/>
    <n v="29.730948978583221"/>
    <n v="0"/>
    <n v="0"/>
    <n v="0"/>
    <n v="29.730948978583221"/>
  </r>
  <r>
    <x v="4"/>
    <d v="2025-06-04T00:00:00"/>
    <d v="2025-06-24T00:00:00"/>
    <x v="2"/>
    <n v="9"/>
    <n v="102"/>
    <n v="4.6134187490356018"/>
    <n v="4.8679546082756167"/>
    <n v="496.53137004411292"/>
    <n v="470.56871240163139"/>
    <n v="25.962657642481531"/>
    <n v="1.8589643374771012"/>
    <n v="27.821621979958632"/>
    <n v="0"/>
    <n v="0"/>
    <n v="0"/>
    <n v="27.821621979958632"/>
  </r>
  <r>
    <x v="5"/>
    <d v="2025-07-03T00:00:00"/>
    <d v="2025-07-24T00:00:00"/>
    <x v="2"/>
    <n v="9"/>
    <n v="131"/>
    <n v="4.6134187490356018"/>
    <n v="4.8679546082756167"/>
    <n v="637.70205368410575"/>
    <n v="604.35785612366385"/>
    <n v="33.344197560441899"/>
    <n v="2.3874934138186301"/>
    <n v="35.73169097426053"/>
    <n v="0"/>
    <n v="0"/>
    <n v="0"/>
    <n v="35.73169097426053"/>
  </r>
  <r>
    <x v="6"/>
    <d v="2025-08-05T00:00:00"/>
    <d v="2025-08-25T00:00:00"/>
    <x v="2"/>
    <n v="9"/>
    <n v="146"/>
    <n v="4.6134187490356018"/>
    <n v="4.8679546082756167"/>
    <n v="710.72137280824006"/>
    <n v="673.55913735919785"/>
    <n v="37.162235449042214"/>
    <n v="2.6608705222711446"/>
    <n v="39.82310597131336"/>
    <n v="0"/>
    <n v="0"/>
    <n v="0"/>
    <n v="39.82310597131336"/>
  </r>
  <r>
    <x v="7"/>
    <d v="2025-09-04T00:00:00"/>
    <d v="2025-09-24T00:00:00"/>
    <x v="2"/>
    <n v="9"/>
    <n v="149"/>
    <n v="4.6134187490356018"/>
    <n v="4.8679546082756167"/>
    <n v="725.32523663306688"/>
    <n v="687.39939360630467"/>
    <n v="37.925843026762209"/>
    <n v="2.7155459439616481"/>
    <n v="40.64138897072386"/>
    <n v="0"/>
    <n v="0"/>
    <n v="0"/>
    <n v="40.64138897072386"/>
  </r>
  <r>
    <x v="8"/>
    <d v="2025-10-03T00:00:00"/>
    <d v="2025-10-24T00:00:00"/>
    <x v="2"/>
    <n v="9"/>
    <n v="122"/>
    <n v="4.6134187490356018"/>
    <n v="4.8679546082756167"/>
    <n v="593.89046220962518"/>
    <n v="562.83708738234338"/>
    <n v="31.0533748272818"/>
    <n v="2.2234671487471211"/>
    <n v="33.276841976028919"/>
    <n v="0"/>
    <n v="0"/>
    <n v="0"/>
    <n v="33.276841976028919"/>
  </r>
  <r>
    <x v="9"/>
    <d v="2025-11-05T00:00:00"/>
    <d v="2025-11-24T00:00:00"/>
    <x v="2"/>
    <n v="9"/>
    <n v="117"/>
    <n v="4.6134187490356018"/>
    <n v="4.8679546082756167"/>
    <n v="569.55068916824712"/>
    <n v="539.76999363716538"/>
    <n v="29.780695531081733"/>
    <n v="2.1323414459296162"/>
    <n v="31.913036977011348"/>
    <n v="0"/>
    <n v="0"/>
    <n v="0"/>
    <n v="31.913036977011348"/>
  </r>
  <r>
    <x v="10"/>
    <d v="2025-12-03T00:00:00"/>
    <d v="2025-12-24T00:00:00"/>
    <x v="2"/>
    <n v="9"/>
    <n v="118"/>
    <n v="4.6134187490356018"/>
    <n v="4.8679546082756167"/>
    <n v="574.4186437765228"/>
    <n v="544.38341238620103"/>
    <n v="30.035231390321769"/>
    <n v="2.1505665864931172"/>
    <n v="32.185797976814889"/>
    <n v="0"/>
    <n v="0"/>
    <n v="0"/>
    <n v="32.185797976814889"/>
  </r>
  <r>
    <x v="11"/>
    <d v="2026-01-06T00:00:00"/>
    <d v="2026-01-26T00:00:00"/>
    <x v="2"/>
    <n v="9"/>
    <n v="178"/>
    <n v="4.6134187490356018"/>
    <n v="4.8679546082756167"/>
    <n v="866.49592027305971"/>
    <n v="821.18853732833713"/>
    <n v="45.307382944722576"/>
    <n v="3.2440750203031765"/>
    <n v="48.551457965025755"/>
    <n v="0"/>
    <n v="0"/>
    <n v="0"/>
    <n v="48.551457965025755"/>
  </r>
  <r>
    <x v="0"/>
    <d v="2025-02-05T00:00:00"/>
    <d v="2025-02-24T00:00:00"/>
    <x v="3"/>
    <n v="9"/>
    <n v="966"/>
    <n v="4.6134187490356018"/>
    <n v="4.8679546082756167"/>
    <n v="4702.4441515942453"/>
    <n v="4456.5625115683915"/>
    <n v="245.88164002585381"/>
    <n v="17.605485784341962"/>
    <n v="263.48712581019578"/>
    <n v="0"/>
    <n v="0"/>
    <n v="0"/>
    <n v="263.48712581019578"/>
  </r>
  <r>
    <x v="1"/>
    <d v="2025-03-05T00:00:00"/>
    <d v="2025-03-24T00:00:00"/>
    <x v="3"/>
    <n v="9"/>
    <n v="1102"/>
    <n v="4.6134187490356018"/>
    <n v="4.8679546082756167"/>
    <n v="5364.4859783197298"/>
    <n v="5083.9874614372329"/>
    <n v="280.49851688249692"/>
    <n v="20.084104900978094"/>
    <n v="300.58262178347502"/>
    <n v="0"/>
    <n v="0"/>
    <n v="0"/>
    <n v="300.58262178347502"/>
  </r>
  <r>
    <x v="2"/>
    <d v="2025-04-03T00:00:00"/>
    <d v="2025-04-24T00:00:00"/>
    <x v="3"/>
    <n v="9"/>
    <n v="715"/>
    <n v="4.6134187490356018"/>
    <n v="4.8679546082756167"/>
    <n v="3480.5875449170658"/>
    <n v="3298.5944055604555"/>
    <n v="181.9931393566103"/>
    <n v="13.030975502903209"/>
    <n v="195.0241148595135"/>
    <n v="0"/>
    <n v="0"/>
    <n v="0"/>
    <n v="195.0241148595135"/>
  </r>
  <r>
    <x v="3"/>
    <d v="2025-05-05T00:00:00"/>
    <d v="2025-05-26T00:00:00"/>
    <x v="3"/>
    <n v="9"/>
    <n v="581"/>
    <n v="4.6134187490356018"/>
    <n v="4.8679546082756167"/>
    <n v="2828.2816274081333"/>
    <n v="2680.3962931896845"/>
    <n v="147.88533421844886"/>
    <n v="10.588806667394076"/>
    <n v="158.47414088584293"/>
    <n v="0"/>
    <n v="0"/>
    <n v="0"/>
    <n v="158.47414088584293"/>
  </r>
  <r>
    <x v="4"/>
    <d v="2025-06-04T00:00:00"/>
    <d v="2025-06-24T00:00:00"/>
    <x v="3"/>
    <n v="9"/>
    <n v="781"/>
    <n v="4.6134187490356018"/>
    <n v="4.8679546082756167"/>
    <n v="3801.8725490632564"/>
    <n v="3603.0800429968049"/>
    <n v="198.79250606645155"/>
    <n v="14.233834780094275"/>
    <n v="213.02634084654582"/>
    <n v="0"/>
    <n v="0"/>
    <n v="0"/>
    <n v="213.02634084654582"/>
  </r>
  <r>
    <x v="5"/>
    <d v="2025-07-03T00:00:00"/>
    <d v="2025-07-24T00:00:00"/>
    <x v="3"/>
    <n v="9"/>
    <n v="896"/>
    <n v="4.6134187490356018"/>
    <n v="4.8679546082756167"/>
    <n v="4361.6873290149524"/>
    <n v="4133.6231991358991"/>
    <n v="228.06412987905333"/>
    <n v="16.329725944896889"/>
    <n v="244.39385582395022"/>
    <n v="0"/>
    <n v="0"/>
    <n v="0"/>
    <n v="244.39385582395022"/>
  </r>
  <r>
    <x v="6"/>
    <d v="2025-08-05T00:00:00"/>
    <d v="2025-08-25T00:00:00"/>
    <x v="3"/>
    <n v="9"/>
    <n v="1028"/>
    <n v="4.6134187490356018"/>
    <n v="4.8679546082756167"/>
    <n v="5004.2573373073337"/>
    <n v="4742.5944740085988"/>
    <n v="261.66286329873492"/>
    <n v="18.735444499279019"/>
    <n v="280.39830779801395"/>
    <n v="0"/>
    <n v="0"/>
    <n v="0"/>
    <n v="280.39830779801395"/>
  </r>
  <r>
    <x v="7"/>
    <d v="2025-09-04T00:00:00"/>
    <d v="2025-09-24T00:00:00"/>
    <x v="3"/>
    <n v="9"/>
    <n v="1055"/>
    <n v="4.6134187490356018"/>
    <n v="4.8679546082756167"/>
    <n v="5135.6921117307757"/>
    <n v="4867.1567802325599"/>
    <n v="268.53533149821578"/>
    <n v="19.227523294493547"/>
    <n v="287.76285479270933"/>
    <n v="0"/>
    <n v="0"/>
    <n v="0"/>
    <n v="287.76285479270933"/>
  </r>
  <r>
    <x v="8"/>
    <d v="2025-10-03T00:00:00"/>
    <d v="2025-10-24T00:00:00"/>
    <x v="3"/>
    <n v="9"/>
    <n v="815"/>
    <n v="4.6134187490356018"/>
    <n v="4.8679546082756167"/>
    <n v="3967.3830057446276"/>
    <n v="3759.9362804640155"/>
    <n v="207.4467252806121"/>
    <n v="14.853489559253308"/>
    <n v="222.30021483986542"/>
    <n v="0"/>
    <n v="0"/>
    <n v="0"/>
    <n v="222.30021483986542"/>
  </r>
  <r>
    <x v="9"/>
    <d v="2025-11-05T00:00:00"/>
    <d v="2025-11-24T00:00:00"/>
    <x v="3"/>
    <n v="9"/>
    <n v="738"/>
    <n v="4.6134187490356018"/>
    <n v="4.8679546082756167"/>
    <n v="3592.550500907405"/>
    <n v="3404.7030367882739"/>
    <n v="187.84746411913102"/>
    <n v="13.450153735863733"/>
    <n v="201.29761785499474"/>
    <n v="0"/>
    <n v="0"/>
    <n v="0"/>
    <n v="201.29761785499474"/>
  </r>
  <r>
    <x v="10"/>
    <d v="2025-12-03T00:00:00"/>
    <d v="2025-12-24T00:00:00"/>
    <x v="3"/>
    <n v="9"/>
    <n v="706"/>
    <n v="4.6134187490356018"/>
    <n v="4.8679546082756167"/>
    <n v="3436.7759534425854"/>
    <n v="3257.0736368191347"/>
    <n v="179.70231662345077"/>
    <n v="12.866949237831701"/>
    <n v="192.56926586128247"/>
    <n v="0"/>
    <n v="0"/>
    <n v="0"/>
    <n v="192.56926586128247"/>
  </r>
  <r>
    <x v="11"/>
    <d v="2026-01-06T00:00:00"/>
    <d v="2026-01-26T00:00:00"/>
    <x v="3"/>
    <n v="9"/>
    <n v="863"/>
    <n v="4.6134187490356018"/>
    <n v="4.8679546082756167"/>
    <n v="4201.0448269418575"/>
    <n v="3981.3803804177242"/>
    <n v="219.66444652413338"/>
    <n v="15.728296306301354"/>
    <n v="235.39274283043474"/>
    <n v="0"/>
    <n v="0"/>
    <n v="0"/>
    <n v="235.39274283043474"/>
  </r>
  <r>
    <x v="0"/>
    <d v="2025-02-05T00:00:00"/>
    <d v="2025-02-24T00:00:00"/>
    <x v="4"/>
    <n v="9"/>
    <n v="47"/>
    <n v="4.6134187490356018"/>
    <n v="4.8679546082756167"/>
    <n v="228.79386658895399"/>
    <n v="216.83068120467328"/>
    <n v="11.963185384280706"/>
    <n v="0.85658160648454662"/>
    <n v="12.819766990765253"/>
    <n v="0"/>
    <n v="0"/>
    <n v="0"/>
    <n v="12.819766990765253"/>
  </r>
  <r>
    <x v="1"/>
    <d v="2025-03-05T00:00:00"/>
    <d v="2025-03-24T00:00:00"/>
    <x v="4"/>
    <n v="9"/>
    <n v="57"/>
    <n v="4.6134187490356018"/>
    <n v="4.8679546082756167"/>
    <n v="277.47341267171015"/>
    <n v="262.96486869502928"/>
    <n v="14.508543976680869"/>
    <n v="1.0388330121195566"/>
    <n v="15.547376988800426"/>
    <n v="0"/>
    <n v="0"/>
    <n v="0"/>
    <n v="15.547376988800426"/>
  </r>
  <r>
    <x v="2"/>
    <d v="2025-04-03T00:00:00"/>
    <d v="2025-04-24T00:00:00"/>
    <x v="4"/>
    <n v="9"/>
    <n v="34"/>
    <n v="4.6134187490356018"/>
    <n v="4.8679546082756167"/>
    <n v="165.51045668137095"/>
    <n v="156.85623746721046"/>
    <n v="8.6542192141604914"/>
    <n v="0.61965477915903366"/>
    <n v="9.2738739933195244"/>
    <n v="0"/>
    <n v="0"/>
    <n v="0"/>
    <n v="9.2738739933195244"/>
  </r>
  <r>
    <x v="3"/>
    <d v="2025-05-05T00:00:00"/>
    <d v="2025-05-26T00:00:00"/>
    <x v="4"/>
    <n v="9"/>
    <n v="27"/>
    <n v="4.6134187490356018"/>
    <n v="4.8679546082756167"/>
    <n v="131.43477442344164"/>
    <n v="124.56230622396124"/>
    <n v="6.8724681994803944"/>
    <n v="0.4920787952145268"/>
    <n v="7.3645469946949209"/>
    <n v="0"/>
    <n v="0"/>
    <n v="0"/>
    <n v="7.3645469946949209"/>
  </r>
  <r>
    <x v="4"/>
    <d v="2025-06-04T00:00:00"/>
    <d v="2025-06-24T00:00:00"/>
    <x v="4"/>
    <n v="9"/>
    <n v="40"/>
    <n v="4.6134187490356018"/>
    <n v="4.8679546082756167"/>
    <n v="194.71818433102467"/>
    <n v="184.53674996142408"/>
    <n v="10.181434369600595"/>
    <n v="0.72900562254003964"/>
    <n v="10.910439992140635"/>
    <n v="0"/>
    <n v="0"/>
    <n v="0"/>
    <n v="10.910439992140635"/>
  </r>
  <r>
    <x v="5"/>
    <d v="2025-07-03T00:00:00"/>
    <d v="2025-07-24T00:00:00"/>
    <x v="4"/>
    <n v="9"/>
    <n v="46"/>
    <n v="4.6134187490356018"/>
    <n v="4.8679546082756167"/>
    <n v="223.92591198067836"/>
    <n v="212.21726245563769"/>
    <n v="11.70864952504067"/>
    <n v="0.83835646592104573"/>
    <n v="12.547005990961715"/>
    <n v="0"/>
    <n v="0"/>
    <n v="0"/>
    <n v="12.547005990961715"/>
  </r>
  <r>
    <x v="6"/>
    <d v="2025-08-05T00:00:00"/>
    <d v="2025-08-25T00:00:00"/>
    <x v="4"/>
    <n v="9"/>
    <n v="55"/>
    <n v="4.6134187490356018"/>
    <n v="4.8679546082756167"/>
    <n v="267.7375034551589"/>
    <n v="253.7380311969581"/>
    <n v="13.999472258200797"/>
    <n v="1.0023827309925546"/>
    <n v="15.001854989193351"/>
    <n v="0"/>
    <n v="0"/>
    <n v="0"/>
    <n v="15.001854989193351"/>
  </r>
  <r>
    <x v="7"/>
    <d v="2025-09-04T00:00:00"/>
    <d v="2025-09-24T00:00:00"/>
    <x v="4"/>
    <n v="9"/>
    <n v="55"/>
    <n v="4.6134187490356018"/>
    <n v="4.8679546082756167"/>
    <n v="267.7375034551589"/>
    <n v="253.7380311969581"/>
    <n v="13.999472258200797"/>
    <n v="1.0023827309925546"/>
    <n v="15.001854989193351"/>
    <n v="0"/>
    <n v="0"/>
    <n v="0"/>
    <n v="15.001854989193351"/>
  </r>
  <r>
    <x v="8"/>
    <d v="2025-10-03T00:00:00"/>
    <d v="2025-10-24T00:00:00"/>
    <x v="4"/>
    <n v="9"/>
    <n v="44"/>
    <n v="4.6134187490356018"/>
    <n v="4.8679546082756167"/>
    <n v="214.19000276412714"/>
    <n v="202.99042495756649"/>
    <n v="11.199577806560654"/>
    <n v="0.80190618479404374"/>
    <n v="12.001483991354698"/>
    <n v="0"/>
    <n v="0"/>
    <n v="0"/>
    <n v="12.001483991354698"/>
  </r>
  <r>
    <x v="9"/>
    <d v="2025-11-05T00:00:00"/>
    <d v="2025-11-24T00:00:00"/>
    <x v="4"/>
    <n v="9"/>
    <n v="34"/>
    <n v="4.6134187490356018"/>
    <n v="4.8679546082756167"/>
    <n v="165.51045668137095"/>
    <n v="156.85623746721046"/>
    <n v="8.6542192141604914"/>
    <n v="0.61965477915903366"/>
    <n v="9.2738739933195244"/>
    <n v="0"/>
    <n v="0"/>
    <n v="0"/>
    <n v="9.2738739933195244"/>
  </r>
  <r>
    <x v="10"/>
    <d v="2025-12-03T00:00:00"/>
    <d v="2025-12-24T00:00:00"/>
    <x v="4"/>
    <n v="9"/>
    <n v="35"/>
    <n v="4.6134187490356018"/>
    <n v="4.8679546082756167"/>
    <n v="170.37841128964658"/>
    <n v="161.46965621624605"/>
    <n v="8.9087550734005276"/>
    <n v="0.63787991972253477"/>
    <n v="9.5466349931230621"/>
    <n v="0"/>
    <n v="0"/>
    <n v="0"/>
    <n v="9.5466349931230621"/>
  </r>
  <r>
    <x v="11"/>
    <d v="2026-01-06T00:00:00"/>
    <d v="2026-01-26T00:00:00"/>
    <x v="4"/>
    <n v="9"/>
    <n v="39"/>
    <n v="4.6134187490356018"/>
    <n v="4.8679546082756167"/>
    <n v="189.85022972274905"/>
    <n v="179.92333121238846"/>
    <n v="9.9268985103605871"/>
    <n v="0.71078048197653876"/>
    <n v="10.637678992337126"/>
    <n v="0"/>
    <n v="0"/>
    <n v="0"/>
    <n v="10.637678992337126"/>
  </r>
  <r>
    <x v="0"/>
    <d v="2025-02-05T00:00:00"/>
    <d v="2025-02-24T00:00:00"/>
    <x v="5"/>
    <n v="9"/>
    <n v="67"/>
    <n v="4.6134187490356018"/>
    <n v="4.8679546082756167"/>
    <n v="326.15295875446634"/>
    <n v="309.09905618538534"/>
    <n v="17.053902569081004"/>
    <n v="1.2210844177545666"/>
    <n v="18.274986986835572"/>
    <n v="0"/>
    <n v="0"/>
    <n v="0"/>
    <n v="18.274986986835572"/>
  </r>
  <r>
    <x v="1"/>
    <d v="2025-03-05T00:00:00"/>
    <d v="2025-03-24T00:00:00"/>
    <x v="5"/>
    <n v="9"/>
    <n v="71"/>
    <n v="4.6134187490356018"/>
    <n v="4.8679546082756167"/>
    <n v="345.62477718756878"/>
    <n v="327.55273118152775"/>
    <n v="18.072046006041035"/>
    <n v="1.2939849800085705"/>
    <n v="19.366030986049605"/>
    <n v="0"/>
    <n v="0"/>
    <n v="0"/>
    <n v="19.366030986049605"/>
  </r>
  <r>
    <x v="2"/>
    <d v="2025-04-03T00:00:00"/>
    <d v="2025-04-24T00:00:00"/>
    <x v="5"/>
    <n v="9"/>
    <n v="49"/>
    <n v="4.6134187490356018"/>
    <n v="4.8679546082756167"/>
    <n v="238.52977580550521"/>
    <n v="226.05751870274449"/>
    <n v="12.472257102760722"/>
    <n v="0.89303188761154861"/>
    <n v="13.365288990372271"/>
    <n v="0"/>
    <n v="0"/>
    <n v="0"/>
    <n v="13.365288990372271"/>
  </r>
  <r>
    <x v="3"/>
    <d v="2025-05-05T00:00:00"/>
    <d v="2025-05-26T00:00:00"/>
    <x v="5"/>
    <n v="9"/>
    <n v="37"/>
    <n v="4.6134187490356018"/>
    <n v="4.8679546082756167"/>
    <n v="180.11432050619783"/>
    <n v="170.69649371431726"/>
    <n v="9.4178267918805716"/>
    <n v="0.67433020084953676"/>
    <n v="10.092156992730109"/>
    <n v="0"/>
    <n v="0"/>
    <n v="0"/>
    <n v="10.092156992730109"/>
  </r>
  <r>
    <x v="4"/>
    <d v="2025-06-04T00:00:00"/>
    <d v="2025-06-24T00:00:00"/>
    <x v="5"/>
    <n v="9"/>
    <n v="50"/>
    <n v="4.6134187490356018"/>
    <n v="4.8679546082756167"/>
    <n v="243.39773041378083"/>
    <n v="230.67093745178008"/>
    <n v="12.726792962000758"/>
    <n v="0.91125702817504972"/>
    <n v="13.638049990175807"/>
    <n v="0"/>
    <n v="0"/>
    <n v="0"/>
    <n v="13.638049990175807"/>
  </r>
  <r>
    <x v="5"/>
    <d v="2025-07-03T00:00:00"/>
    <d v="2025-07-24T00:00:00"/>
    <x v="5"/>
    <n v="9"/>
    <n v="54"/>
    <n v="4.6134187490356018"/>
    <n v="4.8679546082756167"/>
    <n v="262.86954884688328"/>
    <n v="249.12461244792249"/>
    <n v="13.744936398960789"/>
    <n v="0.9841575904290536"/>
    <n v="14.729093989389842"/>
    <n v="0"/>
    <n v="0"/>
    <n v="0"/>
    <n v="14.729093989389842"/>
  </r>
  <r>
    <x v="6"/>
    <d v="2025-08-05T00:00:00"/>
    <d v="2025-08-25T00:00:00"/>
    <x v="5"/>
    <n v="9"/>
    <n v="62"/>
    <n v="4.6134187490356018"/>
    <n v="4.8679546082756167"/>
    <n v="301.81318571308822"/>
    <n v="286.03196244020734"/>
    <n v="15.781223272880879"/>
    <n v="1.1299587149370616"/>
    <n v="16.91118198781794"/>
    <n v="0"/>
    <n v="0"/>
    <n v="0"/>
    <n v="16.91118198781794"/>
  </r>
  <r>
    <x v="7"/>
    <d v="2025-09-04T00:00:00"/>
    <d v="2025-09-24T00:00:00"/>
    <x v="5"/>
    <n v="9"/>
    <n v="55"/>
    <n v="4.6134187490356018"/>
    <n v="4.8679546082756167"/>
    <n v="267.7375034551589"/>
    <n v="253.7380311969581"/>
    <n v="13.999472258200797"/>
    <n v="1.0023827309925546"/>
    <n v="15.001854989193351"/>
    <n v="0"/>
    <n v="0"/>
    <n v="0"/>
    <n v="15.001854989193351"/>
  </r>
  <r>
    <x v="8"/>
    <d v="2025-10-03T00:00:00"/>
    <d v="2025-10-24T00:00:00"/>
    <x v="5"/>
    <n v="9"/>
    <n v="50"/>
    <n v="4.6134187490356018"/>
    <n v="4.8679546082756167"/>
    <n v="243.39773041378083"/>
    <n v="230.67093745178008"/>
    <n v="12.726792962000758"/>
    <n v="0.91125702817504972"/>
    <n v="13.638049990175807"/>
    <n v="0"/>
    <n v="0"/>
    <n v="0"/>
    <n v="13.638049990175807"/>
  </r>
  <r>
    <x v="9"/>
    <d v="2025-11-05T00:00:00"/>
    <d v="2025-11-24T00:00:00"/>
    <x v="5"/>
    <n v="9"/>
    <n v="47"/>
    <n v="4.6134187490356018"/>
    <n v="4.8679546082756167"/>
    <n v="228.79386658895399"/>
    <n v="216.83068120467328"/>
    <n v="11.963185384280706"/>
    <n v="0.85658160648454662"/>
    <n v="12.819766990765253"/>
    <n v="0"/>
    <n v="0"/>
    <n v="0"/>
    <n v="12.819766990765253"/>
  </r>
  <r>
    <x v="10"/>
    <d v="2025-12-03T00:00:00"/>
    <d v="2025-12-24T00:00:00"/>
    <x v="5"/>
    <n v="9"/>
    <n v="48"/>
    <n v="4.6134187490356018"/>
    <n v="4.8679546082756167"/>
    <n v="233.66182119722959"/>
    <n v="221.44409995370887"/>
    <n v="12.217721243520714"/>
    <n v="0.87480674704804773"/>
    <n v="13.092527990568762"/>
    <n v="0"/>
    <n v="0"/>
    <n v="0"/>
    <n v="13.092527990568762"/>
  </r>
  <r>
    <x v="11"/>
    <d v="2026-01-06T00:00:00"/>
    <d v="2026-01-26T00:00:00"/>
    <x v="5"/>
    <n v="9"/>
    <n v="58"/>
    <n v="4.6134187490356018"/>
    <n v="4.8679546082756167"/>
    <n v="282.34136727998577"/>
    <n v="267.57828744406493"/>
    <n v="14.763079835920848"/>
    <n v="1.0570581526830576"/>
    <n v="15.820137988603905"/>
    <n v="0"/>
    <n v="0"/>
    <n v="0"/>
    <n v="15.820137988603905"/>
  </r>
  <r>
    <x v="0"/>
    <d v="2025-02-05T00:00:00"/>
    <d v="2025-02-24T00:00:00"/>
    <x v="6"/>
    <n v="9"/>
    <n v="89"/>
    <n v="4.6134187490356018"/>
    <n v="4.8679546082756167"/>
    <n v="433.24796013652985"/>
    <n v="410.59426866416857"/>
    <n v="22.653691472361288"/>
    <n v="1.6220375101515883"/>
    <n v="24.275728982512877"/>
    <n v="0"/>
    <n v="0"/>
    <n v="0"/>
    <n v="24.275728982512877"/>
  </r>
  <r>
    <x v="1"/>
    <d v="2025-03-05T00:00:00"/>
    <d v="2025-03-24T00:00:00"/>
    <x v="6"/>
    <n v="9"/>
    <n v="102"/>
    <n v="4.6134187490356018"/>
    <n v="4.8679546082756167"/>
    <n v="496.53137004411292"/>
    <n v="470.56871240163139"/>
    <n v="25.962657642481531"/>
    <n v="1.8589643374771012"/>
    <n v="27.821621979958632"/>
    <n v="0"/>
    <n v="0"/>
    <n v="0"/>
    <n v="27.821621979958632"/>
  </r>
  <r>
    <x v="2"/>
    <d v="2025-04-03T00:00:00"/>
    <d v="2025-04-24T00:00:00"/>
    <x v="6"/>
    <n v="9"/>
    <n v="64"/>
    <n v="4.6134187490356018"/>
    <n v="4.8679546082756167"/>
    <n v="311.54909492963947"/>
    <n v="295.25879993827851"/>
    <n v="16.290294991360952"/>
    <n v="1.1664089960640633"/>
    <n v="17.456703987425016"/>
    <n v="0"/>
    <n v="0"/>
    <n v="0"/>
    <n v="17.456703987425016"/>
  </r>
  <r>
    <x v="3"/>
    <d v="2025-05-05T00:00:00"/>
    <d v="2025-05-26T00:00:00"/>
    <x v="6"/>
    <n v="9"/>
    <n v="71"/>
    <n v="4.6134187490356018"/>
    <n v="4.8679546082756167"/>
    <n v="345.62477718756878"/>
    <n v="327.55273118152775"/>
    <n v="18.072046006041035"/>
    <n v="1.2939849800085705"/>
    <n v="19.366030986049605"/>
    <n v="0"/>
    <n v="0"/>
    <n v="0"/>
    <n v="19.366030986049605"/>
  </r>
  <r>
    <x v="4"/>
    <d v="2025-06-04T00:00:00"/>
    <d v="2025-06-24T00:00:00"/>
    <x v="6"/>
    <n v="9"/>
    <n v="108"/>
    <n v="4.6134187490356018"/>
    <n v="4.8679546082756167"/>
    <n v="525.73909769376655"/>
    <n v="498.24922489584497"/>
    <n v="27.489872797921578"/>
    <n v="1.9683151808581072"/>
    <n v="29.458187978779684"/>
    <n v="0"/>
    <n v="0"/>
    <n v="0"/>
    <n v="29.458187978779684"/>
  </r>
  <r>
    <x v="5"/>
    <d v="2025-07-03T00:00:00"/>
    <d v="2025-07-24T00:00:00"/>
    <x v="6"/>
    <n v="9"/>
    <n v="130"/>
    <n v="4.6134187490356018"/>
    <n v="4.8679546082756167"/>
    <n v="632.83409907583018"/>
    <n v="599.74443737462821"/>
    <n v="33.089661701201976"/>
    <n v="2.3692682732551291"/>
    <n v="35.458929974457106"/>
    <n v="0"/>
    <n v="0"/>
    <n v="0"/>
    <n v="35.458929974457106"/>
  </r>
  <r>
    <x v="6"/>
    <d v="2025-08-05T00:00:00"/>
    <d v="2025-08-25T00:00:00"/>
    <x v="6"/>
    <n v="9"/>
    <n v="151"/>
    <n v="4.6134187490356018"/>
    <n v="4.8679546082756167"/>
    <n v="735.06114584961813"/>
    <n v="696.62623110437585"/>
    <n v="38.434914745242281"/>
    <n v="2.75199622508865"/>
    <n v="41.186910970330928"/>
    <n v="0"/>
    <n v="0"/>
    <n v="0"/>
    <n v="41.186910970330928"/>
  </r>
  <r>
    <x v="7"/>
    <d v="2025-09-04T00:00:00"/>
    <d v="2025-09-24T00:00:00"/>
    <x v="6"/>
    <n v="9"/>
    <n v="145"/>
    <n v="4.6134187490356018"/>
    <n v="4.8679546082756167"/>
    <n v="705.85341819996438"/>
    <n v="668.9457186101622"/>
    <n v="36.907699589802178"/>
    <n v="2.6426453817076436"/>
    <n v="39.550344971509823"/>
    <n v="0"/>
    <n v="0"/>
    <n v="0"/>
    <n v="39.550344971509823"/>
  </r>
  <r>
    <x v="8"/>
    <d v="2025-10-03T00:00:00"/>
    <d v="2025-10-24T00:00:00"/>
    <x v="6"/>
    <n v="9"/>
    <n v="126"/>
    <n v="4.6134187490356018"/>
    <n v="4.8679546082756167"/>
    <n v="613.36228064272768"/>
    <n v="581.29076237848585"/>
    <n v="32.071518264241831"/>
    <n v="2.2963677110011251"/>
    <n v="34.367885975242956"/>
    <n v="0"/>
    <n v="0"/>
    <n v="0"/>
    <n v="34.367885975242956"/>
  </r>
  <r>
    <x v="9"/>
    <d v="2025-11-05T00:00:00"/>
    <d v="2025-11-24T00:00:00"/>
    <x v="6"/>
    <n v="9"/>
    <n v="106"/>
    <n v="4.6134187490356018"/>
    <n v="4.8679546082756167"/>
    <n v="516.00318847721542"/>
    <n v="489.0223873977738"/>
    <n v="26.980801079441619"/>
    <n v="1.9318648997311052"/>
    <n v="28.912665979172726"/>
    <n v="0"/>
    <n v="0"/>
    <n v="0"/>
    <n v="28.912665979172726"/>
  </r>
  <r>
    <x v="10"/>
    <d v="2025-12-03T00:00:00"/>
    <d v="2025-12-24T00:00:00"/>
    <x v="6"/>
    <n v="9"/>
    <n v="67"/>
    <n v="4.6134187490356018"/>
    <n v="4.8679546082756167"/>
    <n v="326.15295875446634"/>
    <n v="309.09905618538534"/>
    <n v="17.053902569081004"/>
    <n v="1.2210844177545666"/>
    <n v="18.274986986835572"/>
    <n v="0"/>
    <n v="0"/>
    <n v="0"/>
    <n v="18.274986986835572"/>
  </r>
  <r>
    <x v="11"/>
    <d v="2026-01-06T00:00:00"/>
    <d v="2026-01-26T00:00:00"/>
    <x v="6"/>
    <n v="9"/>
    <n v="82"/>
    <n v="4.6134187490356018"/>
    <n v="4.8679546082756167"/>
    <n v="399.17227787860054"/>
    <n v="378.30033742091933"/>
    <n v="20.871940457681205"/>
    <n v="1.4944615262070815"/>
    <n v="22.366401983888288"/>
    <n v="0"/>
    <n v="0"/>
    <n v="0"/>
    <n v="22.366401983888288"/>
  </r>
  <r>
    <x v="0"/>
    <d v="2025-02-05T00:00:00"/>
    <d v="2025-02-24T00:00:00"/>
    <x v="7"/>
    <n v="9"/>
    <n v="70"/>
    <n v="4.6134187490356018"/>
    <n v="4.8679546082756167"/>
    <n v="340.75682257929316"/>
    <n v="322.9393124324921"/>
    <n v="17.817510146801055"/>
    <n v="1.2757598394450695"/>
    <n v="19.093269986246124"/>
    <n v="0"/>
    <n v="0"/>
    <n v="0"/>
    <n v="19.093269986246124"/>
  </r>
  <r>
    <x v="1"/>
    <d v="2025-03-05T00:00:00"/>
    <d v="2025-03-24T00:00:00"/>
    <x v="7"/>
    <n v="9"/>
    <n v="50"/>
    <n v="4.6134187490356018"/>
    <n v="4.8679546082756167"/>
    <n v="243.39773041378083"/>
    <n v="230.67093745178008"/>
    <n v="12.726792962000758"/>
    <n v="0.91125702817504972"/>
    <n v="13.638049990175807"/>
    <n v="0"/>
    <n v="0"/>
    <n v="0"/>
    <n v="13.638049990175807"/>
  </r>
  <r>
    <x v="2"/>
    <d v="2025-04-03T00:00:00"/>
    <d v="2025-04-24T00:00:00"/>
    <x v="7"/>
    <n v="9"/>
    <n v="67"/>
    <n v="4.6134187490356018"/>
    <n v="4.8679546082756167"/>
    <n v="326.15295875446634"/>
    <n v="309.09905618538534"/>
    <n v="17.053902569081004"/>
    <n v="1.2210844177545666"/>
    <n v="18.274986986835572"/>
    <n v="0"/>
    <n v="0"/>
    <n v="0"/>
    <n v="18.274986986835572"/>
  </r>
  <r>
    <x v="3"/>
    <d v="2025-05-05T00:00:00"/>
    <d v="2025-05-26T00:00:00"/>
    <x v="7"/>
    <n v="9"/>
    <n v="71"/>
    <n v="4.6134187490356018"/>
    <n v="4.8679546082756167"/>
    <n v="345.62477718756878"/>
    <n v="327.55273118152775"/>
    <n v="18.072046006041035"/>
    <n v="1.2939849800085705"/>
    <n v="19.366030986049605"/>
    <n v="0"/>
    <n v="0"/>
    <n v="0"/>
    <n v="19.366030986049605"/>
  </r>
  <r>
    <x v="4"/>
    <d v="2025-06-04T00:00:00"/>
    <d v="2025-06-24T00:00:00"/>
    <x v="7"/>
    <n v="9"/>
    <n v="64"/>
    <n v="4.6134187490356018"/>
    <n v="4.8679546082756167"/>
    <n v="311.54909492963947"/>
    <n v="295.25879993827851"/>
    <n v="16.290294991360952"/>
    <n v="1.1664089960640633"/>
    <n v="17.456703987425016"/>
    <n v="0"/>
    <n v="0"/>
    <n v="0"/>
    <n v="17.456703987425016"/>
  </r>
  <r>
    <x v="5"/>
    <d v="2025-07-03T00:00:00"/>
    <d v="2025-07-24T00:00:00"/>
    <x v="7"/>
    <n v="9"/>
    <n v="72"/>
    <n v="4.6134187490356018"/>
    <n v="4.8679546082756167"/>
    <n v="350.49273179584441"/>
    <n v="332.16614993056334"/>
    <n v="18.326581865281071"/>
    <n v="1.3122101205720713"/>
    <n v="19.638791985853143"/>
    <n v="0"/>
    <n v="0"/>
    <n v="0"/>
    <n v="19.638791985853143"/>
  </r>
  <r>
    <x v="6"/>
    <d v="2025-08-05T00:00:00"/>
    <d v="2025-08-25T00:00:00"/>
    <x v="7"/>
    <n v="9"/>
    <n v="11"/>
    <n v="4.6134187490356018"/>
    <n v="4.8679546082756167"/>
    <n v="53.547500691031786"/>
    <n v="50.747606239391622"/>
    <n v="2.7998944516401636"/>
    <n v="0.20047654619851094"/>
    <n v="3.0003709978386746"/>
    <n v="0"/>
    <n v="0"/>
    <n v="0"/>
    <n v="3.0003709978386746"/>
  </r>
  <r>
    <x v="7"/>
    <d v="2025-09-04T00:00:00"/>
    <d v="2025-09-24T00:00:00"/>
    <x v="7"/>
    <n v="9"/>
    <n v="62"/>
    <n v="4.6134187490356018"/>
    <n v="4.8679546082756167"/>
    <n v="301.81318571308822"/>
    <n v="286.03196244020734"/>
    <n v="15.781223272880879"/>
    <n v="1.1299587149370616"/>
    <n v="16.91118198781794"/>
    <n v="0"/>
    <n v="0"/>
    <n v="0"/>
    <n v="16.91118198781794"/>
  </r>
  <r>
    <x v="8"/>
    <d v="2025-10-03T00:00:00"/>
    <d v="2025-10-24T00:00:00"/>
    <x v="7"/>
    <n v="9"/>
    <n v="72"/>
    <n v="4.6134187490356018"/>
    <n v="4.8679546082756167"/>
    <n v="350.49273179584441"/>
    <n v="332.16614993056334"/>
    <n v="18.326581865281071"/>
    <n v="1.3122101205720713"/>
    <n v="19.638791985853143"/>
    <n v="0"/>
    <n v="0"/>
    <n v="0"/>
    <n v="19.638791985853143"/>
  </r>
  <r>
    <x v="9"/>
    <d v="2025-11-05T00:00:00"/>
    <d v="2025-11-24T00:00:00"/>
    <x v="7"/>
    <n v="9"/>
    <n v="72"/>
    <n v="4.6134187490356018"/>
    <n v="4.8679546082756167"/>
    <n v="350.49273179584441"/>
    <n v="332.16614993056334"/>
    <n v="18.326581865281071"/>
    <n v="1.3122101205720713"/>
    <n v="19.638791985853143"/>
    <n v="0"/>
    <n v="0"/>
    <n v="0"/>
    <n v="19.638791985853143"/>
  </r>
  <r>
    <x v="10"/>
    <d v="2025-12-03T00:00:00"/>
    <d v="2025-12-24T00:00:00"/>
    <x v="7"/>
    <n v="9"/>
    <n v="67"/>
    <n v="4.6134187490356018"/>
    <n v="4.8679546082756167"/>
    <n v="326.15295875446634"/>
    <n v="309.09905618538534"/>
    <n v="17.053902569081004"/>
    <n v="1.2210844177545666"/>
    <n v="18.274986986835572"/>
    <n v="0"/>
    <n v="0"/>
    <n v="0"/>
    <n v="18.274986986835572"/>
  </r>
  <r>
    <x v="11"/>
    <d v="2026-01-06T00:00:00"/>
    <d v="2026-01-26T00:00:00"/>
    <x v="7"/>
    <n v="9"/>
    <n v="68"/>
    <n v="4.6134187490356018"/>
    <n v="4.8679546082756167"/>
    <n v="331.02091336274191"/>
    <n v="313.71247493442092"/>
    <n v="17.308438428320983"/>
    <n v="1.2393095583180673"/>
    <n v="18.547747986639049"/>
    <n v="0"/>
    <n v="0"/>
    <n v="0"/>
    <n v="18.547747986639049"/>
  </r>
  <r>
    <x v="0"/>
    <d v="2025-02-05T00:00:00"/>
    <d v="2025-02-24T00:00:00"/>
    <x v="8"/>
    <n v="9"/>
    <n v="1315"/>
    <n v="4.6134187490356018"/>
    <n v="4.8679546082756167"/>
    <n v="6401.360309882436"/>
    <n v="6066.6456549818167"/>
    <n v="334.71465490061928"/>
    <n v="23.966059841003805"/>
    <n v="358.68071474162309"/>
    <n v="0"/>
    <n v="0"/>
    <n v="0"/>
    <n v="358.68071474162309"/>
  </r>
  <r>
    <x v="1"/>
    <d v="2025-03-05T00:00:00"/>
    <d v="2025-03-24T00:00:00"/>
    <x v="8"/>
    <n v="9"/>
    <n v="1377"/>
    <n v="4.6134187490356018"/>
    <n v="4.8679546082756167"/>
    <n v="6703.1734955955244"/>
    <n v="6352.677617422024"/>
    <n v="350.49587817350039"/>
    <n v="25.096018555940866"/>
    <n v="375.59189672944126"/>
    <n v="0"/>
    <n v="0"/>
    <n v="0"/>
    <n v="375.59189672944126"/>
  </r>
  <r>
    <x v="2"/>
    <d v="2025-04-03T00:00:00"/>
    <d v="2025-04-24T00:00:00"/>
    <x v="8"/>
    <n v="9"/>
    <n v="791"/>
    <n v="4.6134187490356018"/>
    <n v="4.8679546082756167"/>
    <n v="3850.5520951460126"/>
    <n v="3649.2142304871609"/>
    <n v="201.33786465885169"/>
    <n v="14.416086185729284"/>
    <n v="215.75395084458097"/>
    <n v="0"/>
    <n v="0"/>
    <n v="0"/>
    <n v="215.75395084458097"/>
  </r>
  <r>
    <x v="3"/>
    <d v="2025-05-05T00:00:00"/>
    <d v="2025-05-26T00:00:00"/>
    <x v="8"/>
    <n v="9"/>
    <n v="603"/>
    <n v="4.6134187490356018"/>
    <n v="4.8679546082756167"/>
    <n v="2935.3766287901967"/>
    <n v="2781.8915056684677"/>
    <n v="153.48512312172898"/>
    <n v="10.989759759791099"/>
    <n v="164.47488288152007"/>
    <n v="0"/>
    <n v="0"/>
    <n v="0"/>
    <n v="164.47488288152007"/>
  </r>
  <r>
    <x v="4"/>
    <d v="2025-06-04T00:00:00"/>
    <d v="2025-06-24T00:00:00"/>
    <x v="8"/>
    <n v="9"/>
    <n v="738"/>
    <n v="4.6134187490356018"/>
    <n v="4.8679546082756167"/>
    <n v="3592.550500907405"/>
    <n v="3404.7030367882739"/>
    <n v="187.84746411913102"/>
    <n v="13.450153735863733"/>
    <n v="201.29761785499474"/>
    <n v="0"/>
    <n v="0"/>
    <n v="0"/>
    <n v="201.29761785499474"/>
  </r>
  <r>
    <x v="5"/>
    <d v="2025-07-03T00:00:00"/>
    <d v="2025-07-24T00:00:00"/>
    <x v="8"/>
    <n v="9"/>
    <n v="849"/>
    <n v="4.6134187490356018"/>
    <n v="4.8679546082756167"/>
    <n v="4132.8934624259982"/>
    <n v="3916.792517931226"/>
    <n v="216.10094449477219"/>
    <n v="15.473144338412341"/>
    <n v="231.57408883318453"/>
    <n v="0"/>
    <n v="0"/>
    <n v="0"/>
    <n v="231.57408883318453"/>
  </r>
  <r>
    <x v="6"/>
    <d v="2025-08-05T00:00:00"/>
    <d v="2025-08-25T00:00:00"/>
    <x v="8"/>
    <n v="9"/>
    <n v="978"/>
    <n v="4.6134187490356018"/>
    <n v="4.8679546082756167"/>
    <n v="4760.8596068935531"/>
    <n v="4511.9235365568184"/>
    <n v="248.9360703367347"/>
    <n v="17.824187471103972"/>
    <n v="266.76025780783868"/>
    <n v="0"/>
    <n v="0"/>
    <n v="0"/>
    <n v="266.76025780783868"/>
  </r>
  <r>
    <x v="7"/>
    <d v="2025-09-04T00:00:00"/>
    <d v="2025-09-24T00:00:00"/>
    <x v="8"/>
    <n v="9"/>
    <n v="1000"/>
    <n v="4.6134187490356018"/>
    <n v="4.8679546082756167"/>
    <n v="4867.9546082756169"/>
    <n v="4613.4187490356016"/>
    <n v="254.53585924001527"/>
    <n v="18.225140563500993"/>
    <n v="272.76099980351626"/>
    <n v="0"/>
    <n v="0"/>
    <n v="0"/>
    <n v="272.76099980351626"/>
  </r>
  <r>
    <x v="8"/>
    <d v="2025-10-03T00:00:00"/>
    <d v="2025-10-24T00:00:00"/>
    <x v="8"/>
    <n v="9"/>
    <n v="844"/>
    <n v="4.6134187490356018"/>
    <n v="4.8679546082756167"/>
    <n v="4108.5536893846202"/>
    <n v="3893.7254241860478"/>
    <n v="214.82826519857235"/>
    <n v="15.382018635594839"/>
    <n v="230.2102838341672"/>
    <n v="0"/>
    <n v="0"/>
    <n v="0"/>
    <n v="230.2102838341672"/>
  </r>
  <r>
    <x v="9"/>
    <d v="2025-11-05T00:00:00"/>
    <d v="2025-11-24T00:00:00"/>
    <x v="8"/>
    <n v="9"/>
    <n v="760"/>
    <n v="4.6134187490356018"/>
    <n v="4.8679546082756167"/>
    <n v="3699.6455022894688"/>
    <n v="3506.1982492670572"/>
    <n v="193.44725302241159"/>
    <n v="13.851106828260754"/>
    <n v="207.29835985067234"/>
    <n v="0"/>
    <n v="0"/>
    <n v="0"/>
    <n v="207.29835985067234"/>
  </r>
  <r>
    <x v="10"/>
    <d v="2025-12-03T00:00:00"/>
    <d v="2025-12-24T00:00:00"/>
    <x v="8"/>
    <n v="9"/>
    <n v="748"/>
    <n v="4.6134187490356018"/>
    <n v="4.8679546082756167"/>
    <n v="3641.2300469901611"/>
    <n v="3450.8372242786299"/>
    <n v="190.39282271153115"/>
    <n v="13.632405141498742"/>
    <n v="204.02522785302989"/>
    <n v="0"/>
    <n v="0"/>
    <n v="0"/>
    <n v="204.02522785302989"/>
  </r>
  <r>
    <x v="11"/>
    <d v="2026-01-06T00:00:00"/>
    <d v="2026-01-26T00:00:00"/>
    <x v="8"/>
    <n v="9"/>
    <n v="1070"/>
    <n v="4.6134187490356018"/>
    <n v="4.8679546082756167"/>
    <n v="5208.7114308549098"/>
    <n v="4936.3580614680941"/>
    <n v="272.35336938681576"/>
    <n v="19.500900402946062"/>
    <n v="291.85426978976182"/>
    <n v="0"/>
    <n v="0"/>
    <n v="0"/>
    <n v="291.85426978976182"/>
  </r>
  <r>
    <x v="0"/>
    <d v="2025-02-05T00:00:00"/>
    <d v="2025-02-24T00:00:00"/>
    <x v="9"/>
    <n v="9"/>
    <n v="7"/>
    <n v="4.6134187490356018"/>
    <n v="4.8679546082756167"/>
    <n v="34.075682257929316"/>
    <n v="32.293931243249212"/>
    <n v="1.7817510146801041"/>
    <n v="0.12757598394450695"/>
    <n v="1.9093269986246111"/>
    <n v="0"/>
    <n v="0"/>
    <n v="0"/>
    <n v="1.9093269986246111"/>
  </r>
  <r>
    <x v="1"/>
    <d v="2025-03-05T00:00:00"/>
    <d v="2025-03-24T00:00:00"/>
    <x v="9"/>
    <n v="9"/>
    <n v="8"/>
    <n v="4.6134187490356018"/>
    <n v="4.8679546082756167"/>
    <n v="38.943636866204933"/>
    <n v="36.907349992284814"/>
    <n v="2.036286873920119"/>
    <n v="0.14580112450800792"/>
    <n v="2.182087998428127"/>
    <n v="0"/>
    <n v="0"/>
    <n v="0"/>
    <n v="2.182087998428127"/>
  </r>
  <r>
    <x v="2"/>
    <d v="2025-04-03T00:00:00"/>
    <d v="2025-04-24T00:00:00"/>
    <x v="9"/>
    <n v="9"/>
    <n v="7"/>
    <n v="4.6134187490356018"/>
    <n v="4.8679546082756167"/>
    <n v="34.075682257929316"/>
    <n v="32.293931243249212"/>
    <n v="1.7817510146801041"/>
    <n v="0.12757598394450695"/>
    <n v="1.9093269986246111"/>
    <n v="0"/>
    <n v="0"/>
    <n v="0"/>
    <n v="1.9093269986246111"/>
  </r>
  <r>
    <x v="3"/>
    <d v="2025-05-05T00:00:00"/>
    <d v="2025-05-26T00:00:00"/>
    <x v="9"/>
    <n v="9"/>
    <n v="3"/>
    <n v="4.6134187490356018"/>
    <n v="4.8679546082756167"/>
    <n v="14.603863824826849"/>
    <n v="13.840256247106804"/>
    <n v="0.76360757772004462"/>
    <n v="5.4675421690502983E-2"/>
    <n v="0.81828299941054761"/>
    <n v="0"/>
    <n v="0"/>
    <n v="0"/>
    <n v="0.81828299941054761"/>
  </r>
  <r>
    <x v="4"/>
    <d v="2025-06-04T00:00:00"/>
    <d v="2025-06-24T00:00:00"/>
    <x v="9"/>
    <n v="9"/>
    <n v="5"/>
    <n v="4.6134187490356018"/>
    <n v="4.8679546082756167"/>
    <n v="24.339773041378084"/>
    <n v="23.06709374517801"/>
    <n v="1.2726792962000744"/>
    <n v="9.1125702817504955E-2"/>
    <n v="1.3638049990175793"/>
    <n v="0"/>
    <n v="0"/>
    <n v="0"/>
    <n v="1.3638049990175793"/>
  </r>
  <r>
    <x v="5"/>
    <d v="2025-07-03T00:00:00"/>
    <d v="2025-07-24T00:00:00"/>
    <x v="9"/>
    <n v="9"/>
    <n v="10"/>
    <n v="4.6134187490356018"/>
    <n v="4.8679546082756167"/>
    <n v="48.679546082756168"/>
    <n v="46.13418749035602"/>
    <n v="2.5453585924001487"/>
    <n v="0.18225140563500991"/>
    <n v="2.7276099980351587"/>
    <n v="0"/>
    <n v="0"/>
    <n v="0"/>
    <n v="2.7276099980351587"/>
  </r>
  <r>
    <x v="6"/>
    <d v="2025-08-05T00:00:00"/>
    <d v="2025-08-25T00:00:00"/>
    <x v="9"/>
    <n v="9"/>
    <n v="17"/>
    <n v="4.6134187490356018"/>
    <n v="4.8679546082756167"/>
    <n v="82.755228340685477"/>
    <n v="78.428118733605231"/>
    <n v="4.3271096070802457"/>
    <n v="0.30982738957951683"/>
    <n v="4.6369369966597622"/>
    <n v="0"/>
    <n v="0"/>
    <n v="0"/>
    <n v="4.6369369966597622"/>
  </r>
  <r>
    <x v="7"/>
    <d v="2025-09-04T00:00:00"/>
    <d v="2025-09-24T00:00:00"/>
    <x v="9"/>
    <n v="9"/>
    <n v="16"/>
    <n v="4.6134187490356018"/>
    <n v="4.8679546082756167"/>
    <n v="77.887273732409867"/>
    <n v="73.814699984569629"/>
    <n v="4.072573747840238"/>
    <n v="0.29160224901601584"/>
    <n v="4.3641759968562539"/>
    <n v="0"/>
    <n v="0"/>
    <n v="0"/>
    <n v="4.3641759968562539"/>
  </r>
  <r>
    <x v="8"/>
    <d v="2025-10-03T00:00:00"/>
    <d v="2025-10-24T00:00:00"/>
    <x v="9"/>
    <n v="9"/>
    <n v="8"/>
    <n v="4.6134187490356018"/>
    <n v="4.8679546082756167"/>
    <n v="38.943636866204933"/>
    <n v="36.907349992284814"/>
    <n v="2.036286873920119"/>
    <n v="0.14580112450800792"/>
    <n v="2.182087998428127"/>
    <n v="0"/>
    <n v="0"/>
    <n v="0"/>
    <n v="2.182087998428127"/>
  </r>
  <r>
    <x v="9"/>
    <d v="2025-11-05T00:00:00"/>
    <d v="2025-11-24T00:00:00"/>
    <x v="9"/>
    <n v="9"/>
    <n v="8"/>
    <n v="4.6134187490356018"/>
    <n v="4.8679546082756167"/>
    <n v="38.943636866204933"/>
    <n v="36.907349992284814"/>
    <n v="2.036286873920119"/>
    <n v="0.14580112450800792"/>
    <n v="2.182087998428127"/>
    <n v="0"/>
    <n v="0"/>
    <n v="0"/>
    <n v="2.182087998428127"/>
  </r>
  <r>
    <x v="10"/>
    <d v="2025-12-03T00:00:00"/>
    <d v="2025-12-24T00:00:00"/>
    <x v="9"/>
    <n v="9"/>
    <n v="6"/>
    <n v="4.6134187490356018"/>
    <n v="4.8679546082756167"/>
    <n v="29.207727649653698"/>
    <n v="27.680512494213609"/>
    <n v="1.5272151554400892"/>
    <n v="0.10935084338100597"/>
    <n v="1.6365659988210952"/>
    <n v="0"/>
    <n v="0"/>
    <n v="0"/>
    <n v="1.6365659988210952"/>
  </r>
  <r>
    <x v="11"/>
    <d v="2026-01-06T00:00:00"/>
    <d v="2026-01-26T00:00:00"/>
    <x v="9"/>
    <n v="9"/>
    <n v="7"/>
    <n v="4.6134187490356018"/>
    <n v="4.8679546082756167"/>
    <n v="34.075682257929316"/>
    <n v="32.293931243249212"/>
    <n v="1.7817510146801041"/>
    <n v="0.12757598394450695"/>
    <n v="1.9093269986246111"/>
    <n v="0"/>
    <n v="0"/>
    <n v="0"/>
    <n v="1.9093269986246111"/>
  </r>
  <r>
    <x v="0"/>
    <d v="2025-02-05T00:00:00"/>
    <d v="2025-02-24T00:00:00"/>
    <x v="10"/>
    <n v="9"/>
    <n v="2"/>
    <n v="4.6134187490356018"/>
    <n v="4.8679546082756167"/>
    <n v="9.7359092165512333"/>
    <n v="9.2268374980712036"/>
    <n v="0.50907171848002974"/>
    <n v="3.6450281127001979E-2"/>
    <n v="0.54552199960703174"/>
    <n v="0"/>
    <n v="0"/>
    <n v="0"/>
    <n v="0.54552199960703174"/>
  </r>
  <r>
    <x v="1"/>
    <d v="2025-03-05T00:00:00"/>
    <d v="2025-03-24T00:00:00"/>
    <x v="10"/>
    <n v="9"/>
    <n v="3"/>
    <n v="4.6134187490356018"/>
    <n v="4.8679546082756167"/>
    <n v="14.603863824826849"/>
    <n v="13.840256247106804"/>
    <n v="0.76360757772004462"/>
    <n v="5.4675421690502983E-2"/>
    <n v="0.81828299941054761"/>
    <n v="0"/>
    <n v="0"/>
    <n v="0"/>
    <n v="0.81828299941054761"/>
  </r>
  <r>
    <x v="2"/>
    <d v="2025-04-03T00:00:00"/>
    <d v="2025-04-24T00:00:00"/>
    <x v="10"/>
    <n v="9"/>
    <n v="2"/>
    <n v="4.6134187490356018"/>
    <n v="4.8679546082756167"/>
    <n v="9.7359092165512333"/>
    <n v="9.2268374980712036"/>
    <n v="0.50907171848002974"/>
    <n v="3.6450281127001979E-2"/>
    <n v="0.54552199960703174"/>
    <n v="0"/>
    <n v="0"/>
    <n v="0"/>
    <n v="0.54552199960703174"/>
  </r>
  <r>
    <x v="3"/>
    <d v="2025-05-05T00:00:00"/>
    <d v="2025-05-26T00:00:00"/>
    <x v="10"/>
    <n v="9"/>
    <n v="1"/>
    <n v="4.6134187490356018"/>
    <n v="4.8679546082756167"/>
    <n v="4.8679546082756167"/>
    <n v="4.6134187490356018"/>
    <n v="0.25453585924001487"/>
    <n v="1.822514056350099E-2"/>
    <n v="0.27276099980351587"/>
    <n v="0"/>
    <n v="0"/>
    <n v="0"/>
    <n v="0.27276099980351587"/>
  </r>
  <r>
    <x v="4"/>
    <d v="2025-06-04T00:00:00"/>
    <d v="2025-06-24T00:00:00"/>
    <x v="10"/>
    <n v="9"/>
    <n v="2"/>
    <n v="4.6134187490356018"/>
    <n v="4.8679546082756167"/>
    <n v="9.7359092165512333"/>
    <n v="9.2268374980712036"/>
    <n v="0.50907171848002974"/>
    <n v="3.6450281127001979E-2"/>
    <n v="0.54552199960703174"/>
    <n v="0"/>
    <n v="0"/>
    <n v="0"/>
    <n v="0.54552199960703174"/>
  </r>
  <r>
    <x v="5"/>
    <d v="2025-07-03T00:00:00"/>
    <d v="2025-07-24T00:00:00"/>
    <x v="10"/>
    <n v="9"/>
    <n v="3"/>
    <n v="4.6134187490356018"/>
    <n v="4.8679546082756167"/>
    <n v="14.603863824826849"/>
    <n v="13.840256247106804"/>
    <n v="0.76360757772004462"/>
    <n v="5.4675421690502983E-2"/>
    <n v="0.81828299941054761"/>
    <n v="0"/>
    <n v="0"/>
    <n v="0"/>
    <n v="0.81828299941054761"/>
  </r>
  <r>
    <x v="6"/>
    <d v="2025-08-05T00:00:00"/>
    <d v="2025-08-25T00:00:00"/>
    <x v="10"/>
    <n v="9"/>
    <n v="7"/>
    <n v="4.6134187490356018"/>
    <n v="4.8679546082756167"/>
    <n v="34.075682257929316"/>
    <n v="32.293931243249212"/>
    <n v="1.7817510146801041"/>
    <n v="0.12757598394450695"/>
    <n v="1.9093269986246111"/>
    <n v="0"/>
    <n v="0"/>
    <n v="0"/>
    <n v="1.9093269986246111"/>
  </r>
  <r>
    <x v="7"/>
    <d v="2025-09-04T00:00:00"/>
    <d v="2025-09-24T00:00:00"/>
    <x v="10"/>
    <n v="9"/>
    <n v="5"/>
    <n v="4.6134187490356018"/>
    <n v="4.8679546082756167"/>
    <n v="24.339773041378084"/>
    <n v="23.06709374517801"/>
    <n v="1.2726792962000744"/>
    <n v="9.1125702817504955E-2"/>
    <n v="1.3638049990175793"/>
    <n v="0"/>
    <n v="0"/>
    <n v="0"/>
    <n v="1.3638049990175793"/>
  </r>
  <r>
    <x v="8"/>
    <d v="2025-10-03T00:00:00"/>
    <d v="2025-10-24T00:00:00"/>
    <x v="10"/>
    <n v="9"/>
    <n v="2"/>
    <n v="4.6134187490356018"/>
    <n v="4.8679546082756167"/>
    <n v="9.7359092165512333"/>
    <n v="9.2268374980712036"/>
    <n v="0.50907171848002974"/>
    <n v="3.6450281127001979E-2"/>
    <n v="0.54552199960703174"/>
    <n v="0"/>
    <n v="0"/>
    <n v="0"/>
    <n v="0.54552199960703174"/>
  </r>
  <r>
    <x v="9"/>
    <d v="2025-11-05T00:00:00"/>
    <d v="2025-11-24T00:00:00"/>
    <x v="10"/>
    <n v="9"/>
    <n v="3"/>
    <n v="4.6134187490356018"/>
    <n v="4.8679546082756167"/>
    <n v="14.603863824826849"/>
    <n v="13.840256247106804"/>
    <n v="0.76360757772004462"/>
    <n v="5.4675421690502983E-2"/>
    <n v="0.81828299941054761"/>
    <n v="0"/>
    <n v="0"/>
    <n v="0"/>
    <n v="0.81828299941054761"/>
  </r>
  <r>
    <x v="10"/>
    <d v="2025-12-03T00:00:00"/>
    <d v="2025-12-24T00:00:00"/>
    <x v="10"/>
    <n v="9"/>
    <n v="1"/>
    <n v="4.6134187490356018"/>
    <n v="4.8679546082756167"/>
    <n v="4.8679546082756167"/>
    <n v="4.6134187490356018"/>
    <n v="0.25453585924001487"/>
    <n v="1.822514056350099E-2"/>
    <n v="0.27276099980351587"/>
    <n v="0"/>
    <n v="0"/>
    <n v="0"/>
    <n v="0.27276099980351587"/>
  </r>
  <r>
    <x v="11"/>
    <d v="2026-01-06T00:00:00"/>
    <d v="2026-01-26T00:00:00"/>
    <x v="10"/>
    <n v="9"/>
    <n v="2"/>
    <n v="4.6134187490356018"/>
    <n v="4.8679546082756167"/>
    <n v="9.7359092165512333"/>
    <n v="9.2268374980712036"/>
    <n v="0.50907171848002974"/>
    <n v="3.6450281127001979E-2"/>
    <n v="0.54552199960703174"/>
    <n v="0"/>
    <n v="0"/>
    <n v="0"/>
    <n v="0.54552199960703174"/>
  </r>
  <r>
    <x v="0"/>
    <d v="2025-02-05T00:00:00"/>
    <d v="2025-02-24T00:00:00"/>
    <x v="11"/>
    <n v="9"/>
    <n v="137"/>
    <n v="4.6134187490356018"/>
    <n v="4.8679546082756167"/>
    <n v="666.9097813337595"/>
    <n v="632.0383686178775"/>
    <n v="34.871412715882002"/>
    <n v="2.4968442571996357"/>
    <n v="37.368256973081635"/>
    <n v="0"/>
    <n v="0"/>
    <n v="0"/>
    <n v="37.368256973081635"/>
  </r>
  <r>
    <x v="1"/>
    <d v="2025-03-05T00:00:00"/>
    <d v="2025-03-24T00:00:00"/>
    <x v="11"/>
    <n v="9"/>
    <n v="156"/>
    <n v="4.6134187490356018"/>
    <n v="4.8679546082756167"/>
    <n v="759.40091889099619"/>
    <n v="719.69332484955385"/>
    <n v="39.707594041442348"/>
    <n v="2.843121927906155"/>
    <n v="42.550715969348502"/>
    <n v="0"/>
    <n v="0"/>
    <n v="0"/>
    <n v="42.550715969348502"/>
  </r>
  <r>
    <x v="2"/>
    <d v="2025-04-03T00:00:00"/>
    <d v="2025-04-24T00:00:00"/>
    <x v="11"/>
    <n v="9"/>
    <n v="113"/>
    <n v="4.6134187490356018"/>
    <n v="4.8679546082756167"/>
    <n v="550.07887073514473"/>
    <n v="521.31631864102303"/>
    <n v="28.762552094121702"/>
    <n v="2.0594408836756122"/>
    <n v="30.821992977797315"/>
    <n v="0"/>
    <n v="0"/>
    <n v="0"/>
    <n v="30.821992977797315"/>
  </r>
  <r>
    <x v="3"/>
    <d v="2025-05-05T00:00:00"/>
    <d v="2025-05-26T00:00:00"/>
    <x v="11"/>
    <n v="9"/>
    <n v="112"/>
    <n v="4.6134187490356018"/>
    <n v="4.8679546082756167"/>
    <n v="545.21091612686905"/>
    <n v="516.70289989198739"/>
    <n v="28.508016234881666"/>
    <n v="2.0412157431121112"/>
    <n v="30.549231977993777"/>
    <n v="0"/>
    <n v="0"/>
    <n v="0"/>
    <n v="30.549231977993777"/>
  </r>
  <r>
    <x v="4"/>
    <d v="2025-06-04T00:00:00"/>
    <d v="2025-06-24T00:00:00"/>
    <x v="11"/>
    <n v="9"/>
    <n v="142"/>
    <n v="4.6134187490356018"/>
    <n v="4.8679546082756167"/>
    <n v="691.24955437513756"/>
    <n v="655.10546236305549"/>
    <n v="36.144092012082069"/>
    <n v="2.5879699600171411"/>
    <n v="38.73206197209921"/>
    <n v="0"/>
    <n v="0"/>
    <n v="0"/>
    <n v="38.73206197209921"/>
  </r>
  <r>
    <x v="5"/>
    <d v="2025-07-03T00:00:00"/>
    <d v="2025-07-24T00:00:00"/>
    <x v="11"/>
    <n v="9"/>
    <n v="165"/>
    <n v="4.6134187490356018"/>
    <n v="4.8679546082756167"/>
    <n v="803.21251036547676"/>
    <n v="761.21409359087431"/>
    <n v="41.998416774602447"/>
    <n v="3.007148192977664"/>
    <n v="45.005564967580113"/>
    <n v="0"/>
    <n v="0"/>
    <n v="0"/>
    <n v="45.005564967580113"/>
  </r>
  <r>
    <x v="6"/>
    <d v="2025-08-05T00:00:00"/>
    <d v="2025-08-25T00:00:00"/>
    <x v="11"/>
    <n v="9"/>
    <n v="185"/>
    <n v="4.6134187490356018"/>
    <n v="4.8679546082756167"/>
    <n v="900.57160253098903"/>
    <n v="853.48246857158631"/>
    <n v="47.089133959402716"/>
    <n v="3.3716510042476835"/>
    <n v="50.460784963650397"/>
    <n v="0"/>
    <n v="0"/>
    <n v="0"/>
    <n v="50.460784963650397"/>
  </r>
  <r>
    <x v="7"/>
    <d v="2025-09-04T00:00:00"/>
    <d v="2025-09-24T00:00:00"/>
    <x v="11"/>
    <n v="9"/>
    <n v="191"/>
    <n v="4.6134187490356018"/>
    <n v="4.8679546082756167"/>
    <n v="929.77933018064277"/>
    <n v="881.16298106579995"/>
    <n v="48.616349114842819"/>
    <n v="3.4810018476286899"/>
    <n v="52.097350962471509"/>
    <n v="0"/>
    <n v="0"/>
    <n v="0"/>
    <n v="52.097350962471509"/>
  </r>
  <r>
    <x v="8"/>
    <d v="2025-10-03T00:00:00"/>
    <d v="2025-10-24T00:00:00"/>
    <x v="11"/>
    <n v="9"/>
    <n v="140"/>
    <n v="4.6134187490356018"/>
    <n v="4.8679546082756167"/>
    <n v="681.51364515858631"/>
    <n v="645.8786248649842"/>
    <n v="35.635020293602111"/>
    <n v="2.5515196788901391"/>
    <n v="38.186539972492248"/>
    <n v="0"/>
    <n v="0"/>
    <n v="0"/>
    <n v="38.186539972492248"/>
  </r>
  <r>
    <x v="9"/>
    <d v="2025-11-05T00:00:00"/>
    <d v="2025-11-24T00:00:00"/>
    <x v="11"/>
    <n v="9"/>
    <n v="137"/>
    <n v="4.6134187490356018"/>
    <n v="4.8679546082756167"/>
    <n v="666.9097813337595"/>
    <n v="632.0383686178775"/>
    <n v="34.871412715882002"/>
    <n v="2.4968442571996357"/>
    <n v="37.368256973081635"/>
    <n v="0"/>
    <n v="0"/>
    <n v="0"/>
    <n v="37.368256973081635"/>
  </r>
  <r>
    <x v="10"/>
    <d v="2025-12-03T00:00:00"/>
    <d v="2025-12-24T00:00:00"/>
    <x v="11"/>
    <n v="9"/>
    <n v="120"/>
    <n v="4.6134187490356018"/>
    <n v="4.8679546082756167"/>
    <n v="584.15455299307405"/>
    <n v="553.61024988427221"/>
    <n v="30.544303108801842"/>
    <n v="2.1870168676201192"/>
    <n v="32.731319976421958"/>
    <n v="0"/>
    <n v="0"/>
    <n v="0"/>
    <n v="32.731319976421958"/>
  </r>
  <r>
    <x v="11"/>
    <d v="2026-01-06T00:00:00"/>
    <d v="2026-01-26T00:00:00"/>
    <x v="11"/>
    <n v="9"/>
    <n v="128"/>
    <n v="4.6134187490356018"/>
    <n v="4.8679546082756167"/>
    <n v="623.09818985927893"/>
    <n v="590.51759987655703"/>
    <n v="32.580589982721904"/>
    <n v="2.3328179921281267"/>
    <n v="34.913407974850031"/>
    <n v="0"/>
    <n v="0"/>
    <n v="0"/>
    <n v="34.913407974850031"/>
  </r>
  <r>
    <x v="0"/>
    <d v="2025-02-05T00:00:00"/>
    <d v="2025-02-24T00:00:00"/>
    <x v="12"/>
    <n v="9"/>
    <n v="11"/>
    <n v="4.6134187490356018"/>
    <n v="4.8679546082756167"/>
    <n v="53.547500691031786"/>
    <n v="50.747606239391622"/>
    <n v="2.7998944516401636"/>
    <n v="0.20047654619851094"/>
    <n v="3.0003709978386746"/>
    <n v="0"/>
    <n v="0"/>
    <n v="0"/>
    <n v="3.0003709978386746"/>
  </r>
  <r>
    <x v="1"/>
    <d v="2025-03-05T00:00:00"/>
    <d v="2025-03-24T00:00:00"/>
    <x v="12"/>
    <n v="9"/>
    <n v="9"/>
    <n v="4.6134187490356018"/>
    <n v="4.8679546082756167"/>
    <n v="43.811591474480551"/>
    <n v="41.520768741320417"/>
    <n v="2.2908227331601339"/>
    <n v="0.16402626507150891"/>
    <n v="2.4548489982316428"/>
    <n v="0"/>
    <n v="0"/>
    <n v="0"/>
    <n v="2.4548489982316428"/>
  </r>
  <r>
    <x v="2"/>
    <d v="2025-04-03T00:00:00"/>
    <d v="2025-04-24T00:00:00"/>
    <x v="12"/>
    <n v="9"/>
    <n v="8"/>
    <n v="4.6134187490356018"/>
    <n v="4.8679546082756167"/>
    <n v="38.943636866204933"/>
    <n v="36.907349992284814"/>
    <n v="2.036286873920119"/>
    <n v="0.14580112450800792"/>
    <n v="2.182087998428127"/>
    <n v="0"/>
    <n v="0"/>
    <n v="0"/>
    <n v="2.182087998428127"/>
  </r>
  <r>
    <x v="3"/>
    <d v="2025-05-05T00:00:00"/>
    <d v="2025-05-26T00:00:00"/>
    <x v="12"/>
    <n v="9"/>
    <n v="10"/>
    <n v="4.6134187490356018"/>
    <n v="4.8679546082756167"/>
    <n v="48.679546082756168"/>
    <n v="46.13418749035602"/>
    <n v="2.5453585924001487"/>
    <n v="0.18225140563500991"/>
    <n v="2.7276099980351587"/>
    <n v="0"/>
    <n v="0"/>
    <n v="0"/>
    <n v="2.7276099980351587"/>
  </r>
  <r>
    <x v="4"/>
    <d v="2025-06-04T00:00:00"/>
    <d v="2025-06-24T00:00:00"/>
    <x v="12"/>
    <n v="9"/>
    <n v="11"/>
    <n v="4.6134187490356018"/>
    <n v="4.8679546082756167"/>
    <n v="53.547500691031786"/>
    <n v="50.747606239391622"/>
    <n v="2.7998944516401636"/>
    <n v="0.20047654619851094"/>
    <n v="3.0003709978386746"/>
    <n v="0"/>
    <n v="0"/>
    <n v="0"/>
    <n v="3.0003709978386746"/>
  </r>
  <r>
    <x v="5"/>
    <d v="2025-07-03T00:00:00"/>
    <d v="2025-07-24T00:00:00"/>
    <x v="12"/>
    <n v="9"/>
    <n v="11"/>
    <n v="4.6134187490356018"/>
    <n v="4.8679546082756167"/>
    <n v="53.547500691031786"/>
    <n v="50.747606239391622"/>
    <n v="2.7998944516401636"/>
    <n v="0.20047654619851094"/>
    <n v="3.0003709978386746"/>
    <n v="0"/>
    <n v="0"/>
    <n v="0"/>
    <n v="3.0003709978386746"/>
  </r>
  <r>
    <x v="6"/>
    <d v="2025-08-05T00:00:00"/>
    <d v="2025-08-25T00:00:00"/>
    <x v="12"/>
    <n v="9"/>
    <n v="14"/>
    <n v="4.6134187490356018"/>
    <n v="4.8679546082756167"/>
    <n v="68.151364515858631"/>
    <n v="64.587862486498423"/>
    <n v="3.5635020293602082"/>
    <n v="0.2551519678890139"/>
    <n v="3.8186539972492222"/>
    <n v="0"/>
    <n v="0"/>
    <n v="0"/>
    <n v="3.8186539972492222"/>
  </r>
  <r>
    <x v="7"/>
    <d v="2025-09-04T00:00:00"/>
    <d v="2025-09-24T00:00:00"/>
    <x v="12"/>
    <n v="9"/>
    <n v="11"/>
    <n v="4.6134187490356018"/>
    <n v="4.8679546082756167"/>
    <n v="53.547500691031786"/>
    <n v="50.747606239391622"/>
    <n v="2.7998944516401636"/>
    <n v="0.20047654619851094"/>
    <n v="3.0003709978386746"/>
    <n v="0"/>
    <n v="0"/>
    <n v="0"/>
    <n v="3.0003709978386746"/>
  </r>
  <r>
    <x v="8"/>
    <d v="2025-10-03T00:00:00"/>
    <d v="2025-10-24T00:00:00"/>
    <x v="12"/>
    <n v="9"/>
    <n v="12"/>
    <n v="4.6134187490356018"/>
    <n v="4.8679546082756167"/>
    <n v="58.415455299307396"/>
    <n v="55.361024988427218"/>
    <n v="3.0544303108801785"/>
    <n v="0.21870168676201193"/>
    <n v="3.2731319976421904"/>
    <n v="0"/>
    <n v="0"/>
    <n v="0"/>
    <n v="3.2731319976421904"/>
  </r>
  <r>
    <x v="9"/>
    <d v="2025-11-05T00:00:00"/>
    <d v="2025-11-24T00:00:00"/>
    <x v="12"/>
    <n v="9"/>
    <n v="13"/>
    <n v="4.6134187490356018"/>
    <n v="4.8679546082756167"/>
    <n v="63.283409907583014"/>
    <n v="59.974443737462821"/>
    <n v="3.3089661701201933"/>
    <n v="0.2369268273255129"/>
    <n v="3.5458929974457063"/>
    <n v="0"/>
    <n v="0"/>
    <n v="0"/>
    <n v="3.5458929974457063"/>
  </r>
  <r>
    <x v="10"/>
    <d v="2025-12-03T00:00:00"/>
    <d v="2025-12-24T00:00:00"/>
    <x v="12"/>
    <n v="9"/>
    <n v="10"/>
    <n v="4.6134187490356018"/>
    <n v="4.8679546082756167"/>
    <n v="48.679546082756168"/>
    <n v="46.13418749035602"/>
    <n v="2.5453585924001487"/>
    <n v="0.18225140563500991"/>
    <n v="2.7276099980351587"/>
    <n v="0"/>
    <n v="0"/>
    <n v="0"/>
    <n v="2.7276099980351587"/>
  </r>
  <r>
    <x v="11"/>
    <d v="2026-01-06T00:00:00"/>
    <d v="2026-01-26T00:00:00"/>
    <x v="12"/>
    <n v="9"/>
    <n v="7"/>
    <n v="4.6134187490356018"/>
    <n v="4.8679546082756167"/>
    <n v="34.075682257929316"/>
    <n v="32.293931243249212"/>
    <n v="1.7817510146801041"/>
    <n v="0.12757598394450695"/>
    <n v="1.9093269986246111"/>
    <n v="0"/>
    <n v="0"/>
    <n v="0"/>
    <n v="1.9093269986246111"/>
  </r>
  <r>
    <x v="0"/>
    <d v="2025-02-05T00:00:00"/>
    <d v="2025-02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4.6134187490356018"/>
    <n v="4.8679546082756167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4.6134187490356018"/>
    <n v="4.8679546082756167"/>
    <n v="180.11432050619783"/>
    <n v="170.69649371431726"/>
    <n v="9.4178267918805716"/>
    <n v="0.67433020084953676"/>
    <n v="10.092156992730109"/>
    <n v="0"/>
    <n v="0"/>
    <n v="0"/>
    <n v="10.092156992730109"/>
  </r>
  <r>
    <x v="1"/>
    <d v="2025-03-05T00:00:00"/>
    <d v="2025-03-24T00:00:00"/>
    <x v="14"/>
    <n v="9"/>
    <n v="42"/>
    <n v="4.6134187490356018"/>
    <n v="4.8679546082756167"/>
    <n v="204.45409354757589"/>
    <n v="193.76358745949528"/>
    <n v="10.69050608808061"/>
    <n v="0.76545590366704164"/>
    <n v="11.455961991747651"/>
    <n v="0"/>
    <n v="0"/>
    <n v="0"/>
    <n v="11.455961991747651"/>
  </r>
  <r>
    <x v="2"/>
    <d v="2025-04-03T00:00:00"/>
    <d v="2025-04-24T00:00:00"/>
    <x v="14"/>
    <n v="9"/>
    <n v="30"/>
    <n v="4.6134187490356018"/>
    <n v="4.8679546082756167"/>
    <n v="146.03863824826851"/>
    <n v="138.40256247106805"/>
    <n v="7.6360757772004604"/>
    <n v="0.54675421690502979"/>
    <n v="8.1828299941054894"/>
    <n v="0"/>
    <n v="0"/>
    <n v="0"/>
    <n v="8.1828299941054894"/>
  </r>
  <r>
    <x v="3"/>
    <d v="2025-05-05T00:00:00"/>
    <d v="2025-05-26T00:00:00"/>
    <x v="14"/>
    <n v="9"/>
    <n v="32"/>
    <n v="4.6134187490356018"/>
    <n v="4.8679546082756167"/>
    <n v="155.77454746481973"/>
    <n v="147.62939996913926"/>
    <n v="8.1451474956804759"/>
    <n v="0.58320449803203167"/>
    <n v="8.7283519937125078"/>
    <n v="0"/>
    <n v="0"/>
    <n v="0"/>
    <n v="8.7283519937125078"/>
  </r>
  <r>
    <x v="4"/>
    <d v="2025-06-04T00:00:00"/>
    <d v="2025-06-24T00:00:00"/>
    <x v="14"/>
    <n v="9"/>
    <n v="39"/>
    <n v="4.6134187490356018"/>
    <n v="4.8679546082756167"/>
    <n v="189.85022972274905"/>
    <n v="179.92333121238846"/>
    <n v="9.9268985103605871"/>
    <n v="0.71078048197653876"/>
    <n v="10.637678992337126"/>
    <n v="0"/>
    <n v="0"/>
    <n v="0"/>
    <n v="10.637678992337126"/>
  </r>
  <r>
    <x v="5"/>
    <d v="2025-07-03T00:00:00"/>
    <d v="2025-07-24T00:00:00"/>
    <x v="14"/>
    <n v="9"/>
    <n v="47"/>
    <n v="4.6134187490356018"/>
    <n v="4.8679546082756167"/>
    <n v="228.79386658895399"/>
    <n v="216.83068120467328"/>
    <n v="11.963185384280706"/>
    <n v="0.85658160648454662"/>
    <n v="12.819766990765253"/>
    <n v="0"/>
    <n v="0"/>
    <n v="0"/>
    <n v="12.819766990765253"/>
  </r>
  <r>
    <x v="6"/>
    <d v="2025-08-05T00:00:00"/>
    <d v="2025-08-25T00:00:00"/>
    <x v="14"/>
    <n v="9"/>
    <n v="53"/>
    <n v="4.6134187490356018"/>
    <n v="4.8679546082756167"/>
    <n v="258.00159423860771"/>
    <n v="244.5111936988869"/>
    <n v="13.49040053972081"/>
    <n v="0.9659324498655526"/>
    <n v="14.456332989586363"/>
    <n v="0"/>
    <n v="0"/>
    <n v="0"/>
    <n v="14.456332989586363"/>
  </r>
  <r>
    <x v="7"/>
    <d v="2025-09-04T00:00:00"/>
    <d v="2025-09-24T00:00:00"/>
    <x v="14"/>
    <n v="9"/>
    <n v="52"/>
    <n v="4.6134187490356018"/>
    <n v="4.8679546082756167"/>
    <n v="253.13363963033206"/>
    <n v="239.89777494985128"/>
    <n v="13.235864680480773"/>
    <n v="0.9477073093020516"/>
    <n v="14.183571989782825"/>
    <n v="0"/>
    <n v="0"/>
    <n v="0"/>
    <n v="14.183571989782825"/>
  </r>
  <r>
    <x v="8"/>
    <d v="2025-10-03T00:00:00"/>
    <d v="2025-10-24T00:00:00"/>
    <x v="14"/>
    <n v="9"/>
    <n v="45"/>
    <n v="4.6134187490356018"/>
    <n v="4.8679546082756167"/>
    <n v="219.05795737240274"/>
    <n v="207.60384370660208"/>
    <n v="11.454113665800662"/>
    <n v="0.82013132535754463"/>
    <n v="12.274244991158207"/>
    <n v="0"/>
    <n v="0"/>
    <n v="0"/>
    <n v="12.274244991158207"/>
  </r>
  <r>
    <x v="9"/>
    <d v="2025-11-05T00:00:00"/>
    <d v="2025-11-24T00:00:00"/>
    <x v="14"/>
    <n v="9"/>
    <n v="41"/>
    <n v="4.6134187490356018"/>
    <n v="4.8679546082756167"/>
    <n v="199.58613893930027"/>
    <n v="189.15016871045967"/>
    <n v="10.435970228840603"/>
    <n v="0.74723076310354075"/>
    <n v="11.183200991944144"/>
    <n v="0"/>
    <n v="0"/>
    <n v="0"/>
    <n v="11.183200991944144"/>
  </r>
  <r>
    <x v="10"/>
    <d v="2025-12-03T00:00:00"/>
    <d v="2025-12-24T00:00:00"/>
    <x v="14"/>
    <n v="9"/>
    <n v="29"/>
    <n v="4.6134187490356018"/>
    <n v="4.8679546082756167"/>
    <n v="141.17068363999289"/>
    <n v="133.78914372203246"/>
    <n v="7.3815399179604242"/>
    <n v="0.52852907634152879"/>
    <n v="7.9100689943019526"/>
    <n v="0"/>
    <n v="0"/>
    <n v="0"/>
    <n v="7.9100689943019526"/>
  </r>
  <r>
    <x v="11"/>
    <d v="2026-01-06T00:00:00"/>
    <d v="2026-01-26T00:00:00"/>
    <x v="14"/>
    <n v="9"/>
    <n v="36"/>
    <n v="4.6134187490356018"/>
    <n v="4.8679546082756167"/>
    <n v="175.2463658979222"/>
    <n v="166.08307496528167"/>
    <n v="9.1632909326405354"/>
    <n v="0.65610506028603566"/>
    <n v="9.8193959929265713"/>
    <n v="0"/>
    <n v="0"/>
    <n v="0"/>
    <n v="9.8193959929265713"/>
  </r>
  <r>
    <x v="0"/>
    <d v="2025-02-05T00:00:00"/>
    <d v="2025-02-24T00:00:00"/>
    <x v="15"/>
    <n v="9"/>
    <n v="106"/>
    <n v="4.6134187490356018"/>
    <n v="4.8679546082756167"/>
    <n v="516.00318847721542"/>
    <n v="489.0223873977738"/>
    <n v="26.980801079441619"/>
    <n v="1.9318648997311052"/>
    <n v="28.912665979172726"/>
    <n v="0"/>
    <n v="0"/>
    <n v="0"/>
    <n v="28.912665979172726"/>
  </r>
  <r>
    <x v="1"/>
    <d v="2025-03-05T00:00:00"/>
    <d v="2025-03-24T00:00:00"/>
    <x v="15"/>
    <n v="9"/>
    <n v="102"/>
    <n v="4.6134187490356018"/>
    <n v="4.8679546082756167"/>
    <n v="496.53137004411292"/>
    <n v="470.56871240163139"/>
    <n v="25.962657642481531"/>
    <n v="1.8589643374771012"/>
    <n v="27.821621979958632"/>
    <n v="0"/>
    <n v="0"/>
    <n v="0"/>
    <n v="27.821621979958632"/>
  </r>
  <r>
    <x v="2"/>
    <d v="2025-04-03T00:00:00"/>
    <d v="2025-04-24T00:00:00"/>
    <x v="15"/>
    <n v="9"/>
    <n v="100"/>
    <n v="4.6134187490356018"/>
    <n v="4.8679546082756167"/>
    <n v="486.79546082756167"/>
    <n v="461.34187490356015"/>
    <n v="25.453585924001516"/>
    <n v="1.8225140563500994"/>
    <n v="27.276099980351614"/>
    <n v="0"/>
    <n v="0"/>
    <n v="0"/>
    <n v="27.276099980351614"/>
  </r>
  <r>
    <x v="3"/>
    <d v="2025-05-05T00:00:00"/>
    <d v="2025-05-26T00:00:00"/>
    <x v="15"/>
    <n v="9"/>
    <n v="60"/>
    <n v="4.6134187490356018"/>
    <n v="4.8679546082756167"/>
    <n v="292.07727649653702"/>
    <n v="276.8051249421361"/>
    <n v="15.272151554400921"/>
    <n v="1.0935084338100596"/>
    <n v="16.365659988210979"/>
    <n v="0"/>
    <n v="0"/>
    <n v="0"/>
    <n v="16.365659988210979"/>
  </r>
  <r>
    <x v="4"/>
    <d v="2025-06-04T00:00:00"/>
    <d v="2025-06-24T00:00:00"/>
    <x v="15"/>
    <n v="9"/>
    <n v="96"/>
    <n v="4.6134187490356018"/>
    <n v="4.8679546082756167"/>
    <n v="467.32364239445917"/>
    <n v="442.88819990741774"/>
    <n v="24.435442487041428"/>
    <n v="1.7496134940960955"/>
    <n v="26.185055981137523"/>
    <n v="0"/>
    <n v="0"/>
    <n v="0"/>
    <n v="26.185055981137523"/>
  </r>
  <r>
    <x v="5"/>
    <d v="2025-07-03T00:00:00"/>
    <d v="2025-07-24T00:00:00"/>
    <x v="15"/>
    <n v="9"/>
    <n v="119"/>
    <n v="4.6134187490356018"/>
    <n v="4.8679546082756167"/>
    <n v="579.28659838479837"/>
    <n v="548.99683113523656"/>
    <n v="30.289767249561805"/>
    <n v="2.1687917270566177"/>
    <n v="32.45855897661842"/>
    <n v="0"/>
    <n v="0"/>
    <n v="0"/>
    <n v="32.45855897661842"/>
  </r>
  <r>
    <x v="6"/>
    <d v="2025-08-05T00:00:00"/>
    <d v="2025-08-25T00:00:00"/>
    <x v="15"/>
    <n v="9"/>
    <n v="118"/>
    <n v="4.6134187490356018"/>
    <n v="4.8679546082756167"/>
    <n v="574.4186437765228"/>
    <n v="544.38341238620103"/>
    <n v="30.035231390321769"/>
    <n v="2.1505665864931172"/>
    <n v="32.185797976814889"/>
    <n v="0"/>
    <n v="0"/>
    <n v="0"/>
    <n v="32.185797976814889"/>
  </r>
  <r>
    <x v="7"/>
    <d v="2025-09-04T00:00:00"/>
    <d v="2025-09-24T00:00:00"/>
    <x v="15"/>
    <n v="9"/>
    <n v="119"/>
    <n v="4.6134187490356018"/>
    <n v="4.8679546082756167"/>
    <n v="579.28659838479837"/>
    <n v="548.99683113523656"/>
    <n v="30.289767249561805"/>
    <n v="2.1687917270566177"/>
    <n v="32.45855897661842"/>
    <n v="0"/>
    <n v="0"/>
    <n v="0"/>
    <n v="32.45855897661842"/>
  </r>
  <r>
    <x v="8"/>
    <d v="2025-10-03T00:00:00"/>
    <d v="2025-10-24T00:00:00"/>
    <x v="15"/>
    <n v="9"/>
    <n v="101"/>
    <n v="4.6134187490356018"/>
    <n v="4.8679546082756167"/>
    <n v="491.66341543583729"/>
    <n v="465.9552936525958"/>
    <n v="25.708121783241495"/>
    <n v="1.8407391969136002"/>
    <n v="27.548860980155094"/>
    <n v="0"/>
    <n v="0"/>
    <n v="0"/>
    <n v="27.548860980155094"/>
  </r>
  <r>
    <x v="9"/>
    <d v="2025-11-05T00:00:00"/>
    <d v="2025-11-24T00:00:00"/>
    <x v="15"/>
    <n v="9"/>
    <n v="106"/>
    <n v="4.6134187490356018"/>
    <n v="4.8679546082756167"/>
    <n v="516.00318847721542"/>
    <n v="489.0223873977738"/>
    <n v="26.980801079441619"/>
    <n v="1.9318648997311052"/>
    <n v="28.912665979172726"/>
    <n v="0"/>
    <n v="0"/>
    <n v="0"/>
    <n v="28.912665979172726"/>
  </r>
  <r>
    <x v="10"/>
    <d v="2025-12-03T00:00:00"/>
    <d v="2025-12-24T00:00:00"/>
    <x v="15"/>
    <n v="9"/>
    <n v="35"/>
    <n v="4.6134187490356018"/>
    <n v="4.8679546082756167"/>
    <n v="170.37841128964658"/>
    <n v="161.46965621624605"/>
    <n v="8.9087550734005276"/>
    <n v="0.63787991972253477"/>
    <n v="9.5466349931230621"/>
    <n v="0"/>
    <n v="0"/>
    <n v="0"/>
    <n v="9.5466349931230621"/>
  </r>
  <r>
    <x v="11"/>
    <d v="2026-01-06T00:00:00"/>
    <d v="2026-01-26T00:00:00"/>
    <x v="15"/>
    <n v="9"/>
    <n v="103"/>
    <n v="4.6134187490356018"/>
    <n v="4.8679546082756167"/>
    <n v="501.39932465238854"/>
    <n v="475.18213115066698"/>
    <n v="26.217193501721567"/>
    <n v="1.8771894780406022"/>
    <n v="28.09438297976217"/>
    <n v="0"/>
    <n v="0"/>
    <n v="0"/>
    <n v="28.094382979762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2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R18" sqref="A1:R18"/>
    </sheetView>
  </sheetViews>
  <sheetFormatPr defaultColWidth="8.7109375" defaultRowHeight="12.75" x14ac:dyDescent="0.2"/>
  <sheetData>
    <row r="1" spans="1:2" x14ac:dyDescent="0.2">
      <c r="A1" t="s">
        <v>62</v>
      </c>
    </row>
    <row r="3" spans="1:2" x14ac:dyDescent="0.2">
      <c r="A3">
        <v>1</v>
      </c>
      <c r="B3" s="1" t="s">
        <v>64</v>
      </c>
    </row>
    <row r="4" spans="1:2" x14ac:dyDescent="0.2">
      <c r="A4">
        <v>2</v>
      </c>
      <c r="B4" s="1" t="s">
        <v>63</v>
      </c>
    </row>
    <row r="5" spans="1:2" x14ac:dyDescent="0.2">
      <c r="A5">
        <v>3</v>
      </c>
      <c r="B5" s="1" t="s">
        <v>65</v>
      </c>
    </row>
    <row r="6" spans="1:2" x14ac:dyDescent="0.2">
      <c r="A6">
        <v>4</v>
      </c>
      <c r="B6" s="2" t="s">
        <v>79</v>
      </c>
    </row>
    <row r="7" spans="1:2" x14ac:dyDescent="0.2">
      <c r="A7">
        <v>5</v>
      </c>
      <c r="B7" s="1" t="s">
        <v>66</v>
      </c>
    </row>
    <row r="8" spans="1:2" x14ac:dyDescent="0.2">
      <c r="A8">
        <v>6</v>
      </c>
      <c r="B8" s="1" t="s">
        <v>67</v>
      </c>
    </row>
    <row r="9" spans="1:2" x14ac:dyDescent="0.2">
      <c r="A9">
        <v>7</v>
      </c>
      <c r="B9" s="3" t="s">
        <v>68</v>
      </c>
    </row>
    <row r="10" spans="1:2" x14ac:dyDescent="0.2">
      <c r="A10">
        <v>8</v>
      </c>
      <c r="B10" s="1" t="s">
        <v>71</v>
      </c>
    </row>
    <row r="11" spans="1:2" x14ac:dyDescent="0.2">
      <c r="B11" s="1" t="s">
        <v>72</v>
      </c>
    </row>
    <row r="12" spans="1:2" x14ac:dyDescent="0.2">
      <c r="B12" s="3" t="s">
        <v>73</v>
      </c>
    </row>
    <row r="13" spans="1:2" x14ac:dyDescent="0.2">
      <c r="B13" s="3" t="s">
        <v>74</v>
      </c>
    </row>
    <row r="14" spans="1:2" x14ac:dyDescent="0.2">
      <c r="A14">
        <v>9</v>
      </c>
      <c r="B14" s="1" t="s">
        <v>75</v>
      </c>
    </row>
    <row r="15" spans="1:2" x14ac:dyDescent="0.2">
      <c r="A15">
        <v>10</v>
      </c>
      <c r="B15" s="1" t="s">
        <v>77</v>
      </c>
    </row>
    <row r="16" spans="1:2" x14ac:dyDescent="0.2">
      <c r="A16">
        <v>11</v>
      </c>
      <c r="B16" s="1" t="s">
        <v>78</v>
      </c>
    </row>
  </sheetData>
  <phoneticPr fontId="6" type="noConversion"/>
  <pageMargins left="0.75" right="0.75" top="1" bottom="1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1"/>
  <sheetViews>
    <sheetView tabSelected="1" topLeftCell="A7" zoomScale="85" zoomScaleNormal="85" zoomScaleSheetLayoutView="100" workbookViewId="0">
      <selection activeCell="K34" sqref="K34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6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21" t="str">
        <f>+Transactions!B1</f>
        <v>AEPTCo Formula Rate -- FERC Docket ER18-195</v>
      </c>
      <c r="D1" s="221"/>
      <c r="E1" s="221"/>
      <c r="F1" s="221"/>
      <c r="G1" s="221"/>
      <c r="H1" s="221"/>
      <c r="I1" s="221"/>
      <c r="J1" s="4">
        <v>2025</v>
      </c>
    </row>
    <row r="2" spans="2:17" x14ac:dyDescent="0.2">
      <c r="C2" s="221" t="s">
        <v>95</v>
      </c>
      <c r="D2" s="221"/>
      <c r="E2" s="221"/>
      <c r="F2" s="221"/>
      <c r="G2" s="221"/>
      <c r="H2" s="221"/>
      <c r="I2" s="221"/>
    </row>
    <row r="3" spans="2:17" x14ac:dyDescent="0.2">
      <c r="C3" s="221" t="str">
        <f>"for period 01/01/"&amp;F8&amp;" - 12/31/"&amp;F8</f>
        <v>for period 01/01/2025 - 12/31/2025</v>
      </c>
      <c r="D3" s="221"/>
      <c r="E3" s="221"/>
      <c r="F3" s="221"/>
      <c r="G3" s="221"/>
      <c r="H3" s="221"/>
      <c r="I3" s="221"/>
    </row>
    <row r="4" spans="2:17" x14ac:dyDescent="0.2">
      <c r="C4" s="221" t="s">
        <v>93</v>
      </c>
      <c r="D4" s="221"/>
      <c r="E4" s="221"/>
      <c r="F4" s="221"/>
      <c r="G4" s="221"/>
      <c r="H4" s="221"/>
      <c r="I4" s="221"/>
    </row>
    <row r="5" spans="2:17" x14ac:dyDescent="0.2">
      <c r="C5" s="5" t="str">
        <f>"Prepared:  May 24_, "&amp;J1+1&amp;""</f>
        <v>Prepared:  May 24_,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92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"&amp;F8&amp;" Update of May "&amp;F8+1&amp;")"</f>
        <v>(per 2025 Update of May 2026)</v>
      </c>
      <c r="G10" s="17"/>
      <c r="H10" s="16"/>
    </row>
    <row r="11" spans="2:17" ht="21.75" customHeight="1" x14ac:dyDescent="0.2">
      <c r="B11" s="18"/>
      <c r="C11" s="19" t="s">
        <v>38</v>
      </c>
      <c r="D11" s="20" t="s">
        <v>36</v>
      </c>
      <c r="E11" s="21">
        <f>Transactions!K2</f>
        <v>477765.64565012691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41</v>
      </c>
      <c r="E12" s="27"/>
      <c r="F12" s="28">
        <f>+Transactions!J2</f>
        <v>515384.9582419644</v>
      </c>
      <c r="G12" s="29"/>
      <c r="H12" s="30"/>
    </row>
    <row r="13" spans="2:17" ht="21.75" customHeight="1" x14ac:dyDescent="0.2">
      <c r="B13" s="31"/>
      <c r="C13" s="32" t="s">
        <v>39</v>
      </c>
      <c r="D13" s="33" t="s">
        <v>37</v>
      </c>
      <c r="E13" s="34">
        <f>Transactions!K3</f>
        <v>4.6134187490356018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40</v>
      </c>
      <c r="E14" s="39"/>
      <c r="F14" s="40">
        <f>+Transactions!J3</f>
        <v>4.8679546082756167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91</v>
      </c>
      <c r="I19" s="48" t="s">
        <v>90</v>
      </c>
      <c r="M19" s="46"/>
      <c r="N19" s="46"/>
      <c r="O19" s="46"/>
      <c r="P19" s="46"/>
      <c r="Q19" s="46"/>
    </row>
    <row r="20" spans="2:17" ht="53.25" customHeight="1" x14ac:dyDescent="0.2">
      <c r="C20" s="49" t="s">
        <v>49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98</v>
      </c>
      <c r="G20" s="52" t="s">
        <v>99</v>
      </c>
      <c r="H20" s="52" t="s">
        <v>96</v>
      </c>
      <c r="I20" s="220" t="s">
        <v>100</v>
      </c>
      <c r="M20" s="46"/>
      <c r="N20" s="46"/>
      <c r="O20" s="46"/>
      <c r="P20" s="46"/>
      <c r="Q20" s="46"/>
    </row>
    <row r="21" spans="2:17" x14ac:dyDescent="0.2">
      <c r="B21" s="53"/>
      <c r="C21" s="54" t="s">
        <v>14</v>
      </c>
      <c r="D21" s="55">
        <f>GETPIVOTDATA("Sum of "&amp;T(Transactions!$J$19),Pivot!$A$3,"Customer",C21)</f>
        <v>49877.062916391966</v>
      </c>
      <c r="E21" s="55">
        <f>GETPIVOTDATA("Sum of "&amp;T(Transactions!$K$19),Pivot!$A$3,"Customer",C21)</f>
        <v>47269.088502618783</v>
      </c>
      <c r="F21" s="55">
        <f>D21-E21</f>
        <v>2607.9744137731832</v>
      </c>
      <c r="G21" s="46">
        <f>+GETPIVOTDATA("Sum of "&amp;T(Transactions!$M$19),Pivot!$A$3,"Customer","AECC")</f>
        <v>186.73479021363119</v>
      </c>
      <c r="H21" s="46">
        <f>GETPIVOTDATA("Sum of "&amp;T(Transactions!$Q$19),Pivot!$A$3,"Customer","AECC")</f>
        <v>0</v>
      </c>
      <c r="I21" s="56">
        <f>F21+G21-H21</f>
        <v>2794.7092039868144</v>
      </c>
      <c r="J21" s="53"/>
      <c r="M21" s="46"/>
      <c r="N21" s="46"/>
      <c r="O21" s="46"/>
      <c r="P21" s="46"/>
      <c r="Q21" s="46"/>
    </row>
    <row r="22" spans="2:17" x14ac:dyDescent="0.2">
      <c r="B22" s="53"/>
      <c r="C22" s="57" t="s">
        <v>82</v>
      </c>
      <c r="D22" s="55">
        <f>GETPIVOTDATA("Sum of "&amp;T(Transactions!$J$19),Pivot!$A$3,"Customer",C22)</f>
        <v>2497.2607140453915</v>
      </c>
      <c r="E22" s="55">
        <f>GETPIVOTDATA("Sum of "&amp;T(Transactions!$K$19),Pivot!$A$3,"Customer",C22)</f>
        <v>2366.6838182552642</v>
      </c>
      <c r="F22" s="55">
        <f>D22-E22</f>
        <v>130.57689579012731</v>
      </c>
      <c r="G22" s="46">
        <f>+GETPIVOTDATA("Sum of "&amp;T(Transactions!$M$19),Pivot!$A$3,"Customer","AECI")</f>
        <v>9.3494971090760082</v>
      </c>
      <c r="H22" s="46">
        <f>GETPIVOTDATA("Sum of "&amp;T(Transactions!$Q$19),Pivot!$A$3,"Customer",C22)</f>
        <v>0</v>
      </c>
      <c r="I22" s="56">
        <f t="shared" ref="I22:I33" si="0">F22+G22-H22</f>
        <v>139.92639289920331</v>
      </c>
      <c r="J22" s="53"/>
      <c r="M22" s="46"/>
      <c r="N22" s="46"/>
      <c r="O22" s="46"/>
      <c r="P22" s="46"/>
      <c r="Q22" s="46"/>
    </row>
    <row r="23" spans="2:17" x14ac:dyDescent="0.2">
      <c r="B23" s="53"/>
      <c r="C23" s="57" t="s">
        <v>53</v>
      </c>
      <c r="D23" s="55">
        <f>GETPIVOTDATA("Sum of "&amp;T(Transactions!$J$19),Pivot!$A$3,"Customer",C23)</f>
        <v>8402.0896538837133</v>
      </c>
      <c r="E23" s="55">
        <f>GETPIVOTDATA("Sum of "&amp;T(Transactions!$K$19),Pivot!$A$3,"Customer",C23)</f>
        <v>7962.7607608354474</v>
      </c>
      <c r="F23" s="55">
        <f t="shared" ref="F23:F35" si="1">D23-E23</f>
        <v>439.32889304826585</v>
      </c>
      <c r="G23" s="46">
        <f>+GETPIVOTDATA("Sum of "&amp;T(Transactions!$M$19),Pivot!$A$3,"Customer","Bentonville, AR")</f>
        <v>31.456592612602716</v>
      </c>
      <c r="H23" s="46">
        <f>GETPIVOTDATA("Sum of "&amp;T(Transactions!$Q$19),Pivot!$A$3,"Customer",C23)</f>
        <v>0</v>
      </c>
      <c r="I23" s="56">
        <f t="shared" si="0"/>
        <v>470.78548566086857</v>
      </c>
      <c r="J23" s="53"/>
      <c r="M23" s="46"/>
      <c r="N23" s="46"/>
      <c r="O23" s="46"/>
      <c r="P23" s="46"/>
      <c r="Q23" s="46"/>
    </row>
    <row r="24" spans="2:17" x14ac:dyDescent="0.2">
      <c r="B24" s="53"/>
      <c r="C24" s="54" t="s">
        <v>17</v>
      </c>
      <c r="D24" s="55">
        <f>GETPIVOTDATA("Sum of "&amp;T(Transactions!$J$19),Pivot!$A$3,"Customer",C24)</f>
        <v>5671.1671186410931</v>
      </c>
      <c r="E24" s="55">
        <f>GETPIVOTDATA("Sum of "&amp;T(Transactions!$K$19),Pivot!$A$3,"Customer",C24)</f>
        <v>5374.6328426264772</v>
      </c>
      <c r="F24" s="55">
        <f t="shared" si="1"/>
        <v>296.5342760146159</v>
      </c>
      <c r="G24" s="46">
        <f>+GETPIVOTDATA("Sum of "&amp;T(Transactions!$M$19),Pivot!$A$3,"Customer","Coffeyville, KS")</f>
        <v>21.23228875647866</v>
      </c>
      <c r="H24" s="46">
        <f>GETPIVOTDATA("Sum of "&amp;T(Transactions!$Q$19),Pivot!$A$3,"Customer",C24)</f>
        <v>0</v>
      </c>
      <c r="I24" s="56">
        <f t="shared" si="0"/>
        <v>317.76656477109458</v>
      </c>
      <c r="J24" s="53"/>
      <c r="M24" s="46"/>
      <c r="N24" s="46"/>
      <c r="O24" s="46"/>
      <c r="P24" s="46"/>
      <c r="Q24" s="46"/>
    </row>
    <row r="25" spans="2:17" x14ac:dyDescent="0.2">
      <c r="B25" s="53"/>
      <c r="C25" s="57" t="s">
        <v>13</v>
      </c>
      <c r="D25" s="55">
        <f>GETPIVOTDATA("Sum of "&amp;T(Transactions!$J$19),Pivot!$A$3,"Customer",C25)</f>
        <v>53902.861377435896</v>
      </c>
      <c r="E25" s="55">
        <f>GETPIVOTDATA("Sum of "&amp;T(Transactions!$K$19),Pivot!$A$3,"Customer",C25)</f>
        <v>51084.385808071209</v>
      </c>
      <c r="F25" s="55">
        <f t="shared" si="1"/>
        <v>2818.4755693646875</v>
      </c>
      <c r="G25" s="46">
        <f>+GETPIVOTDATA("Sum of "&amp;T(Transactions!$M$19),Pivot!$A$3,"Customer","ETEC")</f>
        <v>201.80698145964649</v>
      </c>
      <c r="H25" s="46">
        <f>GETPIVOTDATA("Sum of "&amp;T(Transactions!$Q$19),Pivot!$A$3,"Customer",C25)</f>
        <v>0</v>
      </c>
      <c r="I25" s="56">
        <f t="shared" si="0"/>
        <v>3020.2825508243341</v>
      </c>
      <c r="J25" s="53"/>
      <c r="L25" s="1"/>
      <c r="M25" s="46"/>
      <c r="N25" s="46"/>
      <c r="O25" s="46"/>
      <c r="P25" s="46"/>
      <c r="Q25" s="46"/>
    </row>
    <row r="26" spans="2:17" x14ac:dyDescent="0.2">
      <c r="B26" s="53"/>
      <c r="C26" s="54" t="s">
        <v>15</v>
      </c>
      <c r="D26" s="55">
        <f>GETPIVOTDATA("Sum of "&amp;T(Transactions!$J$19),Pivot!$A$3,"Customer",C26)</f>
        <v>496.53137004411292</v>
      </c>
      <c r="E26" s="55">
        <f>GETPIVOTDATA("Sum of "&amp;T(Transactions!$K$19),Pivot!$A$3,"Customer",C26)</f>
        <v>470.56871240163139</v>
      </c>
      <c r="F26" s="55">
        <f t="shared" si="1"/>
        <v>25.962657642481531</v>
      </c>
      <c r="G26" s="46">
        <f>+GETPIVOTDATA("Sum of "&amp;T(Transactions!$M$19),Pivot!$A$3,"Customer","Greenbelt")</f>
        <v>1.8589643374771012</v>
      </c>
      <c r="H26" s="46">
        <f>GETPIVOTDATA("Sum of "&amp;T(Transactions!$Q$19),Pivot!$A$3,"Customer",C26)</f>
        <v>0</v>
      </c>
      <c r="I26" s="56">
        <f t="shared" si="0"/>
        <v>27.821621979958632</v>
      </c>
      <c r="J26" s="53"/>
      <c r="K26" s="58"/>
      <c r="L26" s="58"/>
      <c r="M26" s="58"/>
      <c r="N26" s="58"/>
      <c r="O26" s="46"/>
      <c r="P26" s="46"/>
      <c r="Q26" s="46"/>
    </row>
    <row r="27" spans="2:17" x14ac:dyDescent="0.2">
      <c r="B27" s="53"/>
      <c r="C27" s="54" t="s">
        <v>56</v>
      </c>
      <c r="D27" s="55">
        <f>GETPIVOTDATA("Sum of "&amp;T(Transactions!$J$19),Pivot!$A$3,"Customer",C27)</f>
        <v>2351.2220757971231</v>
      </c>
      <c r="E27" s="55">
        <f>GETPIVOTDATA("Sum of "&amp;T(Transactions!$K$19),Pivot!$A$3,"Customer",C27)</f>
        <v>2228.2812557841958</v>
      </c>
      <c r="F27" s="55">
        <f t="shared" si="1"/>
        <v>122.94082001292736</v>
      </c>
      <c r="G27" s="46">
        <f>+GETPIVOTDATA("Sum of "&amp;T(Transactions!$M$19),Pivot!$A$3,"Customer","Hope, AR")</f>
        <v>8.8027428921709792</v>
      </c>
      <c r="H27" s="46">
        <f>GETPIVOTDATA("Sum of "&amp;T(Transactions!$Q$19),Pivot!$A$3,"Customer",C27)</f>
        <v>0</v>
      </c>
      <c r="I27" s="56">
        <f t="shared" si="0"/>
        <v>131.74356290509834</v>
      </c>
      <c r="J27" s="53"/>
      <c r="K27" s="58"/>
      <c r="L27" s="58"/>
      <c r="M27" s="58"/>
      <c r="N27" s="58"/>
      <c r="O27" s="46"/>
      <c r="P27" s="46"/>
      <c r="Q27" s="46"/>
    </row>
    <row r="28" spans="2:17" x14ac:dyDescent="0.2">
      <c r="B28" s="53"/>
      <c r="C28" s="54" t="s">
        <v>16</v>
      </c>
      <c r="D28" s="55">
        <f>GETPIVOTDATA("Sum of "&amp;T(Transactions!$J$19),Pivot!$A$3,"Customer",C28)</f>
        <v>160.64250207309533</v>
      </c>
      <c r="E28" s="55">
        <f>GETPIVOTDATA("Sum of "&amp;T(Transactions!$K$19),Pivot!$A$3,"Customer",C28)</f>
        <v>152.24281871817485</v>
      </c>
      <c r="F28" s="55">
        <f t="shared" si="1"/>
        <v>8.3996833549204837</v>
      </c>
      <c r="G28" s="46">
        <f>+GETPIVOTDATA("Sum of "&amp;T(Transactions!$M$19),Pivot!$A$3,"Customer","Lighthouse")</f>
        <v>0.60142963859553278</v>
      </c>
      <c r="H28" s="46">
        <f>GETPIVOTDATA("Sum of "&amp;T(Transactions!$Q$19),Pivot!$A$3,"Customer",C28)</f>
        <v>0</v>
      </c>
      <c r="I28" s="56">
        <f t="shared" si="0"/>
        <v>9.001112993516017</v>
      </c>
      <c r="J28" s="53"/>
      <c r="M28" s="46"/>
      <c r="N28" s="46"/>
      <c r="O28" s="46"/>
      <c r="P28" s="46"/>
      <c r="Q28" s="46"/>
    </row>
    <row r="29" spans="2:17" x14ac:dyDescent="0.2">
      <c r="B29" s="53"/>
      <c r="C29" s="57" t="s">
        <v>55</v>
      </c>
      <c r="D29" s="55">
        <f>GETPIVOTDATA("Sum of "&amp;T(Transactions!$J$19),Pivot!$A$3,"Customer",C29)</f>
        <v>0</v>
      </c>
      <c r="E29" s="55">
        <f>GETPIVOTDATA("Sum of "&amp;T(Transactions!$K$19),Pivot!$A$3,"Customer",C29)</f>
        <v>0</v>
      </c>
      <c r="F29" s="55">
        <f t="shared" si="1"/>
        <v>0</v>
      </c>
      <c r="G29" s="46">
        <f>+GETPIVOTDATA("Sum of "&amp;T(Transactions!$M$19),Pivot!$A$3,"Customer","Minden, LA")</f>
        <v>0</v>
      </c>
      <c r="H29" s="46">
        <f>GETPIVOTDATA("Sum of "&amp;T(Transactions!$Q$19),Pivot!$A$3,"Customer",C29)</f>
        <v>0</v>
      </c>
      <c r="I29" s="56">
        <f t="shared" si="0"/>
        <v>0</v>
      </c>
      <c r="J29" s="53"/>
      <c r="M29" s="46"/>
      <c r="N29" s="46"/>
      <c r="O29" s="46"/>
      <c r="P29" s="46"/>
      <c r="Q29" s="46"/>
    </row>
    <row r="30" spans="2:17" x14ac:dyDescent="0.2">
      <c r="B30" s="53"/>
      <c r="C30" s="57" t="s">
        <v>19</v>
      </c>
      <c r="D30" s="55">
        <f>GETPIVOTDATA("Sum of "&amp;T(Transactions!$J$19),Pivot!$A$3,"Customer",C30)</f>
        <v>3631.4941377736104</v>
      </c>
      <c r="E30" s="55">
        <f>GETPIVOTDATA("Sum of "&amp;T(Transactions!$K$19),Pivot!$A$3,"Customer",C30)</f>
        <v>3441.6103867805587</v>
      </c>
      <c r="F30" s="55">
        <f t="shared" si="1"/>
        <v>189.88375099305176</v>
      </c>
      <c r="G30" s="46">
        <f>+GETPIVOTDATA("Sum of "&amp;T(Transactions!$M$19),Pivot!$A$3,"Customer","OG&amp;E")</f>
        <v>13.595954860371741</v>
      </c>
      <c r="H30" s="46">
        <f>GETPIVOTDATA("Sum of "&amp;T(Transactions!$Q$19),Pivot!$A$3,"Customer",C30)</f>
        <v>0</v>
      </c>
      <c r="I30" s="56">
        <f t="shared" si="0"/>
        <v>203.4797058534235</v>
      </c>
      <c r="J30" s="53"/>
    </row>
    <row r="31" spans="2:17" x14ac:dyDescent="0.2">
      <c r="B31" s="53"/>
      <c r="C31" s="54" t="s">
        <v>8</v>
      </c>
      <c r="D31" s="55">
        <f>GETPIVOTDATA("Sum of "&amp;T(Transactions!$J$19),Pivot!$A$3,"Customer",C31)</f>
        <v>6041.1316688700408</v>
      </c>
      <c r="E31" s="55">
        <f>GETPIVOTDATA("Sum of "&amp;T(Transactions!$K$19),Pivot!$A$3,"Customer",C31)</f>
        <v>5725.2526675531817</v>
      </c>
      <c r="F31" s="55">
        <f t="shared" si="1"/>
        <v>315.8790013168591</v>
      </c>
      <c r="G31" s="46">
        <f>+GETPIVOTDATA("Sum of "&amp;T(Transactions!$M$19),Pivot!$A$3,"Customer","OMPA")</f>
        <v>22.617399439304734</v>
      </c>
      <c r="H31" s="46">
        <f>GETPIVOTDATA("Sum of "&amp;T(Transactions!$Q$19),Pivot!$A$3,"Customer",C31)</f>
        <v>0</v>
      </c>
      <c r="I31" s="56">
        <f t="shared" si="0"/>
        <v>338.49640075616384</v>
      </c>
      <c r="J31" s="53"/>
    </row>
    <row r="32" spans="2:17" x14ac:dyDescent="0.2">
      <c r="B32" s="53"/>
      <c r="C32" s="54" t="s">
        <v>54</v>
      </c>
      <c r="D32" s="55">
        <f>GETPIVOTDATA("Sum of "&amp;T(Transactions!$J$19),Pivot!$A$3,"Customer",C32)</f>
        <v>618.23023525100336</v>
      </c>
      <c r="E32" s="55">
        <f>GETPIVOTDATA("Sum of "&amp;T(Transactions!$K$19),Pivot!$A$3,"Customer",C32)</f>
        <v>585.90418112752138</v>
      </c>
      <c r="F32" s="55">
        <f t="shared" si="1"/>
        <v>32.326054123481981</v>
      </c>
      <c r="G32" s="46">
        <f>+GETPIVOTDATA("Sum of "&amp;T(Transactions!$M$19),Pivot!$A$3,"Customer","Prescott, AR")</f>
        <v>2.3145928515646261</v>
      </c>
      <c r="H32" s="46">
        <f>GETPIVOTDATA("Sum of "&amp;T(Transactions!$Q$19),Pivot!$A$3,"Customer",C32)</f>
        <v>0</v>
      </c>
      <c r="I32" s="56">
        <f t="shared" si="0"/>
        <v>34.640646975046607</v>
      </c>
      <c r="J32" s="53"/>
    </row>
    <row r="33" spans="2:11" x14ac:dyDescent="0.2">
      <c r="B33" s="53"/>
      <c r="C33" s="59" t="s">
        <v>9</v>
      </c>
      <c r="D33" s="55">
        <f>GETPIVOTDATA("Sum of "&amp;T(Transactions!$J$19),Pivot!$A$3,"Customer",C33)</f>
        <v>3154.4345861625993</v>
      </c>
      <c r="E33" s="55">
        <f>GETPIVOTDATA("Sum of "&amp;T(Transactions!$K$19),Pivot!$A$3,"Customer",C33)</f>
        <v>2989.49534937507</v>
      </c>
      <c r="F33" s="55">
        <f t="shared" si="1"/>
        <v>164.93923678752935</v>
      </c>
      <c r="G33" s="46">
        <f>+GETPIVOTDATA("Sum of "&amp;T(Transactions!$M$19),Pivot!$A$3,"Customer","WFEC")</f>
        <v>11.809891085148642</v>
      </c>
      <c r="H33" s="46">
        <f>GETPIVOTDATA("Sum of "&amp;T(Transactions!$Q$19),Pivot!$A$3,"Customer",C33)</f>
        <v>0</v>
      </c>
      <c r="I33" s="56">
        <f t="shared" si="0"/>
        <v>176.749127872678</v>
      </c>
      <c r="J33" s="53"/>
    </row>
    <row r="34" spans="2:11" ht="24" x14ac:dyDescent="0.2">
      <c r="C34" s="60" t="s">
        <v>42</v>
      </c>
      <c r="D34" s="61">
        <f t="shared" ref="D34:I34" si="2">SUM(D21:D33)</f>
        <v>136804.12835636965</v>
      </c>
      <c r="E34" s="61">
        <f t="shared" si="2"/>
        <v>129650.90710414753</v>
      </c>
      <c r="F34" s="61">
        <f t="shared" si="2"/>
        <v>7153.2212522221325</v>
      </c>
      <c r="G34" s="62">
        <f t="shared" si="2"/>
        <v>512.18112525606841</v>
      </c>
      <c r="H34" s="62">
        <f t="shared" si="2"/>
        <v>0</v>
      </c>
      <c r="I34" s="63">
        <f t="shared" si="2"/>
        <v>7665.4023774781999</v>
      </c>
    </row>
    <row r="35" spans="2:11" x14ac:dyDescent="0.2">
      <c r="C35" s="64" t="s">
        <v>21</v>
      </c>
      <c r="D35" s="55">
        <f>GETPIVOTDATA("Sum of "&amp;T(Transactions!$J$19),Pivot!$A$3,"Customer",C35)</f>
        <v>189314.7547158387</v>
      </c>
      <c r="E35" s="55">
        <f>GETPIVOTDATA("Sum of "&amp;T(Transactions!$K$19),Pivot!$A$3,"Customer",C35)</f>
        <v>179415.85514999458</v>
      </c>
      <c r="F35" s="55">
        <f t="shared" si="1"/>
        <v>9898.8995658441272</v>
      </c>
      <c r="G35" s="46">
        <f>+GETPIVOTDATA("Sum of "&amp;T(Transactions!$M$19),Pivot!$A$3,"Customer","PSO")</f>
        <v>708.77571651455355</v>
      </c>
      <c r="H35" s="46">
        <f>GETPIVOTDATA("Sum of "&amp;T(Transactions!$Q$19),Pivot!$A$3,"Customer",C35)</f>
        <v>0</v>
      </c>
      <c r="I35" s="56">
        <f>F35+G35-H35</f>
        <v>10607.675282358681</v>
      </c>
    </row>
    <row r="36" spans="2:11" x14ac:dyDescent="0.2">
      <c r="C36" s="65" t="s">
        <v>22</v>
      </c>
      <c r="D36" s="55">
        <f>GETPIVOTDATA("Sum of "&amp;T(Transactions!$J$19),Pivot!$A$3,"Customer",C36)</f>
        <v>180966.21256264605</v>
      </c>
      <c r="E36" s="55">
        <f>GETPIVOTDATA("Sum of "&amp;T(Transactions!$K$19),Pivot!$A$3,"Customer",C36)</f>
        <v>171503.84199539851</v>
      </c>
      <c r="F36" s="55">
        <f>D36-E36</f>
        <v>9462.3705672475335</v>
      </c>
      <c r="G36" s="46">
        <f>+GETPIVOTDATA("Sum of "&amp;T(Transactions!$M$19),Pivot!$A$3,"Customer","SWEPCO")</f>
        <v>677.51960044814939</v>
      </c>
      <c r="H36" s="46">
        <f>GETPIVOTDATA("Sum of "&amp;T(Transactions!$Q$19),Pivot!$A$3,"Customer",C36)</f>
        <v>0</v>
      </c>
      <c r="I36" s="56">
        <f>F36+G36-H36</f>
        <v>10139.890167695683</v>
      </c>
    </row>
    <row r="37" spans="2:11" x14ac:dyDescent="0.2">
      <c r="C37" s="66" t="s">
        <v>80</v>
      </c>
      <c r="D37" s="55">
        <f>GETPIVOTDATA("Sum of "&amp;T(Transactions!$J$19),Pivot!$A$3,"Customer",C37)</f>
        <v>8299.8626071099261</v>
      </c>
      <c r="E37" s="55">
        <f>GETPIVOTDATA("Sum of "&amp;T(Transactions!$K$19),Pivot!$A$3,"Customer",C37)</f>
        <v>7865.8789671057002</v>
      </c>
      <c r="F37" s="55">
        <f>D37-E37</f>
        <v>433.98364000422589</v>
      </c>
      <c r="G37" s="46">
        <f>+GETPIVOTDATA("Sum of "&amp;T(Transactions!$M$19),Pivot!$A$3,"Customer","SWEPCO-Valley")</f>
        <v>31.073864660769196</v>
      </c>
      <c r="H37" s="46">
        <f>GETPIVOTDATA("Sum of "&amp;T(Transactions!$Q$19),Pivot!$A$3,"Customer",C37)</f>
        <v>0</v>
      </c>
      <c r="I37" s="56">
        <f>F37+G37-H37</f>
        <v>465.05750466499507</v>
      </c>
    </row>
    <row r="38" spans="2:11" ht="24" x14ac:dyDescent="0.2">
      <c r="C38" s="67" t="s">
        <v>50</v>
      </c>
      <c r="D38" s="68">
        <f t="shared" ref="D38:I38" si="3">SUM(D35:D37)</f>
        <v>378580.82988559466</v>
      </c>
      <c r="E38" s="68">
        <f t="shared" si="3"/>
        <v>358785.57611249882</v>
      </c>
      <c r="F38" s="68">
        <f t="shared" si="3"/>
        <v>19795.253773095887</v>
      </c>
      <c r="G38" s="69">
        <f t="shared" si="3"/>
        <v>1417.3691816234723</v>
      </c>
      <c r="H38" s="69">
        <f t="shared" si="3"/>
        <v>0</v>
      </c>
      <c r="I38" s="70">
        <f t="shared" si="3"/>
        <v>21212.622954719358</v>
      </c>
      <c r="K38" s="71"/>
    </row>
    <row r="39" spans="2:11" ht="23.25" customHeight="1" thickBot="1" x14ac:dyDescent="0.25">
      <c r="C39" s="72" t="s">
        <v>43</v>
      </c>
      <c r="D39" s="73">
        <f t="shared" ref="D39:I39" si="4">SUM(D34,D38)</f>
        <v>515384.95824196434</v>
      </c>
      <c r="E39" s="74">
        <f t="shared" si="4"/>
        <v>488436.48321664636</v>
      </c>
      <c r="F39" s="73">
        <f t="shared" si="4"/>
        <v>26948.475025318017</v>
      </c>
      <c r="G39" s="74">
        <f t="shared" si="4"/>
        <v>1929.5503068795406</v>
      </c>
      <c r="H39" s="74">
        <f t="shared" si="4"/>
        <v>0</v>
      </c>
      <c r="I39" s="75">
        <f t="shared" si="4"/>
        <v>28878.025332197558</v>
      </c>
      <c r="K39" s="71"/>
    </row>
    <row r="41" spans="2:11" x14ac:dyDescent="0.2">
      <c r="D41" s="53"/>
      <c r="E41" s="53"/>
      <c r="F41" s="53"/>
      <c r="G41" s="53"/>
      <c r="I41" s="53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3"/>
  <sheetViews>
    <sheetView zoomScale="85" zoomScaleNormal="85" workbookViewId="0">
      <pane xSplit="2" ySplit="4" topLeftCell="F104" activePane="bottomRight" state="frozen"/>
      <selection pane="topRight" activeCell="C1" sqref="C1"/>
      <selection pane="bottomLeft" activeCell="A5" sqref="A5"/>
      <selection pane="bottomRight" activeCell="I107" sqref="I107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0.5703125" bestFit="1" customWidth="1"/>
  </cols>
  <sheetData>
    <row r="3" spans="1:15" x14ac:dyDescent="0.2">
      <c r="A3" s="194"/>
      <c r="B3" s="195"/>
      <c r="C3" s="196" t="s">
        <v>52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7"/>
    </row>
    <row r="4" spans="1:15" x14ac:dyDescent="0.2">
      <c r="A4" s="196" t="s">
        <v>0</v>
      </c>
      <c r="B4" s="196" t="s">
        <v>24</v>
      </c>
      <c r="C4" s="198">
        <v>45658</v>
      </c>
      <c r="D4" s="199">
        <v>45689</v>
      </c>
      <c r="E4" s="199">
        <v>45717</v>
      </c>
      <c r="F4" s="199">
        <v>45748</v>
      </c>
      <c r="G4" s="199">
        <v>45778</v>
      </c>
      <c r="H4" s="199">
        <v>45809</v>
      </c>
      <c r="I4" s="199">
        <v>45839</v>
      </c>
      <c r="J4" s="199">
        <v>45870</v>
      </c>
      <c r="K4" s="199">
        <v>45901</v>
      </c>
      <c r="L4" s="199">
        <v>45931</v>
      </c>
      <c r="M4" s="199">
        <v>45962</v>
      </c>
      <c r="N4" s="199">
        <v>45992</v>
      </c>
      <c r="O4" s="200" t="s">
        <v>18</v>
      </c>
    </row>
    <row r="5" spans="1:15" x14ac:dyDescent="0.2">
      <c r="A5" s="194" t="s">
        <v>14</v>
      </c>
      <c r="B5" s="194" t="s">
        <v>69</v>
      </c>
      <c r="C5" s="201">
        <v>4702.4441515942453</v>
      </c>
      <c r="D5" s="202">
        <v>5364.4859783197298</v>
      </c>
      <c r="E5" s="202">
        <v>3480.5875449170658</v>
      </c>
      <c r="F5" s="202">
        <v>2828.2816274081333</v>
      </c>
      <c r="G5" s="202">
        <v>3801.8725490632564</v>
      </c>
      <c r="H5" s="202">
        <v>4361.6873290149524</v>
      </c>
      <c r="I5" s="202">
        <v>5004.2573373073337</v>
      </c>
      <c r="J5" s="202">
        <v>5135.6921117307757</v>
      </c>
      <c r="K5" s="202">
        <v>3967.3830057446276</v>
      </c>
      <c r="L5" s="202">
        <v>3592.550500907405</v>
      </c>
      <c r="M5" s="202">
        <v>3436.7759534425854</v>
      </c>
      <c r="N5" s="202">
        <v>4201.0448269418575</v>
      </c>
      <c r="O5" s="203">
        <v>49877.062916391966</v>
      </c>
    </row>
    <row r="6" spans="1:15" x14ac:dyDescent="0.2">
      <c r="A6" s="204"/>
      <c r="B6" s="205" t="s">
        <v>25</v>
      </c>
      <c r="C6" s="206">
        <v>245.88164002585381</v>
      </c>
      <c r="D6" s="207">
        <v>280.49851688249692</v>
      </c>
      <c r="E6" s="207">
        <v>181.9931393566103</v>
      </c>
      <c r="F6" s="207">
        <v>147.88533421844886</v>
      </c>
      <c r="G6" s="207">
        <v>198.79250606645155</v>
      </c>
      <c r="H6" s="207">
        <v>228.06412987905333</v>
      </c>
      <c r="I6" s="207">
        <v>261.66286329873492</v>
      </c>
      <c r="J6" s="207">
        <v>268.53533149821578</v>
      </c>
      <c r="K6" s="207">
        <v>207.4467252806121</v>
      </c>
      <c r="L6" s="207">
        <v>187.84746411913102</v>
      </c>
      <c r="M6" s="207">
        <v>179.70231662345077</v>
      </c>
      <c r="N6" s="207">
        <v>219.66444652413338</v>
      </c>
      <c r="O6" s="208">
        <v>2607.9744137731927</v>
      </c>
    </row>
    <row r="7" spans="1:15" x14ac:dyDescent="0.2">
      <c r="A7" s="204"/>
      <c r="B7" s="205" t="s">
        <v>26</v>
      </c>
      <c r="C7" s="206">
        <v>17.605485784341962</v>
      </c>
      <c r="D7" s="207">
        <v>20.084104900978094</v>
      </c>
      <c r="E7" s="207">
        <v>13.030975502903209</v>
      </c>
      <c r="F7" s="207">
        <v>10.588806667394076</v>
      </c>
      <c r="G7" s="207">
        <v>14.233834780094275</v>
      </c>
      <c r="H7" s="207">
        <v>16.329725944896889</v>
      </c>
      <c r="I7" s="207">
        <v>18.735444499279019</v>
      </c>
      <c r="J7" s="207">
        <v>19.227523294493547</v>
      </c>
      <c r="K7" s="207">
        <v>14.853489559253308</v>
      </c>
      <c r="L7" s="207">
        <v>13.450153735863733</v>
      </c>
      <c r="M7" s="207">
        <v>12.866949237831701</v>
      </c>
      <c r="N7" s="207">
        <v>15.728296306301354</v>
      </c>
      <c r="O7" s="208">
        <v>186.73479021363119</v>
      </c>
    </row>
    <row r="8" spans="1:15" x14ac:dyDescent="0.2">
      <c r="A8" s="204"/>
      <c r="B8" s="205" t="s">
        <v>27</v>
      </c>
      <c r="C8" s="206">
        <v>263.48712581019578</v>
      </c>
      <c r="D8" s="207">
        <v>300.58262178347502</v>
      </c>
      <c r="E8" s="207">
        <v>195.0241148595135</v>
      </c>
      <c r="F8" s="207">
        <v>158.47414088584293</v>
      </c>
      <c r="G8" s="207">
        <v>213.02634084654582</v>
      </c>
      <c r="H8" s="207">
        <v>244.39385582395022</v>
      </c>
      <c r="I8" s="207">
        <v>280.39830779801395</v>
      </c>
      <c r="J8" s="207">
        <v>287.76285479270933</v>
      </c>
      <c r="K8" s="207">
        <v>222.30021483986542</v>
      </c>
      <c r="L8" s="207">
        <v>201.29761785499474</v>
      </c>
      <c r="M8" s="207">
        <v>192.56926586128247</v>
      </c>
      <c r="N8" s="207">
        <v>235.39274283043474</v>
      </c>
      <c r="O8" s="208">
        <v>2794.7092039868235</v>
      </c>
    </row>
    <row r="9" spans="1:15" x14ac:dyDescent="0.2">
      <c r="A9" s="204"/>
      <c r="B9" s="205" t="s">
        <v>48</v>
      </c>
      <c r="C9" s="209">
        <v>4456.5625115683915</v>
      </c>
      <c r="D9" s="210">
        <v>5083.9874614372329</v>
      </c>
      <c r="E9" s="210">
        <v>3298.5944055604555</v>
      </c>
      <c r="F9" s="210">
        <v>2680.3962931896845</v>
      </c>
      <c r="G9" s="210">
        <v>3603.0800429968049</v>
      </c>
      <c r="H9" s="210">
        <v>4133.6231991358991</v>
      </c>
      <c r="I9" s="210">
        <v>4742.5944740085988</v>
      </c>
      <c r="J9" s="210">
        <v>4867.1567802325599</v>
      </c>
      <c r="K9" s="210">
        <v>3759.9362804640155</v>
      </c>
      <c r="L9" s="210">
        <v>3404.7030367882739</v>
      </c>
      <c r="M9" s="210">
        <v>3257.0736368191347</v>
      </c>
      <c r="N9" s="210">
        <v>3981.3803804177242</v>
      </c>
      <c r="O9" s="211">
        <v>47269.088502618783</v>
      </c>
    </row>
    <row r="10" spans="1:15" x14ac:dyDescent="0.2">
      <c r="A10" s="204"/>
      <c r="B10" s="205" t="s">
        <v>86</v>
      </c>
      <c r="C10" s="209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210">
        <v>0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1">
        <v>0</v>
      </c>
    </row>
    <row r="11" spans="1:15" x14ac:dyDescent="0.2">
      <c r="A11" s="204"/>
      <c r="B11" s="205" t="s">
        <v>88</v>
      </c>
      <c r="C11" s="209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1">
        <v>0</v>
      </c>
    </row>
    <row r="12" spans="1:15" x14ac:dyDescent="0.2">
      <c r="A12" s="194" t="s">
        <v>17</v>
      </c>
      <c r="B12" s="194" t="s">
        <v>69</v>
      </c>
      <c r="C12" s="201">
        <v>516.00318847721542</v>
      </c>
      <c r="D12" s="202">
        <v>496.53137004411292</v>
      </c>
      <c r="E12" s="202">
        <v>486.79546082756167</v>
      </c>
      <c r="F12" s="202">
        <v>292.07727649653702</v>
      </c>
      <c r="G12" s="202">
        <v>467.32364239445917</v>
      </c>
      <c r="H12" s="202">
        <v>579.28659838479837</v>
      </c>
      <c r="I12" s="202">
        <v>574.4186437765228</v>
      </c>
      <c r="J12" s="202">
        <v>579.28659838479837</v>
      </c>
      <c r="K12" s="202">
        <v>491.66341543583729</v>
      </c>
      <c r="L12" s="202">
        <v>516.00318847721542</v>
      </c>
      <c r="M12" s="202">
        <v>170.37841128964658</v>
      </c>
      <c r="N12" s="202">
        <v>501.39932465238854</v>
      </c>
      <c r="O12" s="203">
        <v>5671.1671186410931</v>
      </c>
    </row>
    <row r="13" spans="1:15" x14ac:dyDescent="0.2">
      <c r="A13" s="204"/>
      <c r="B13" s="205" t="s">
        <v>25</v>
      </c>
      <c r="C13" s="206">
        <v>26.980801079441619</v>
      </c>
      <c r="D13" s="207">
        <v>25.962657642481531</v>
      </c>
      <c r="E13" s="207">
        <v>25.453585924001516</v>
      </c>
      <c r="F13" s="207">
        <v>15.272151554400921</v>
      </c>
      <c r="G13" s="207">
        <v>24.435442487041428</v>
      </c>
      <c r="H13" s="207">
        <v>30.289767249561805</v>
      </c>
      <c r="I13" s="207">
        <v>30.035231390321769</v>
      </c>
      <c r="J13" s="207">
        <v>30.289767249561805</v>
      </c>
      <c r="K13" s="207">
        <v>25.708121783241495</v>
      </c>
      <c r="L13" s="207">
        <v>26.980801079441619</v>
      </c>
      <c r="M13" s="207">
        <v>8.9087550734005276</v>
      </c>
      <c r="N13" s="207">
        <v>26.217193501721567</v>
      </c>
      <c r="O13" s="208">
        <v>296.5342760146176</v>
      </c>
    </row>
    <row r="14" spans="1:15" x14ac:dyDescent="0.2">
      <c r="A14" s="204"/>
      <c r="B14" s="205" t="s">
        <v>26</v>
      </c>
      <c r="C14" s="206">
        <v>1.9318648997311052</v>
      </c>
      <c r="D14" s="207">
        <v>1.8589643374771012</v>
      </c>
      <c r="E14" s="207">
        <v>1.8225140563500994</v>
      </c>
      <c r="F14" s="207">
        <v>1.0935084338100596</v>
      </c>
      <c r="G14" s="207">
        <v>1.7496134940960955</v>
      </c>
      <c r="H14" s="207">
        <v>2.1687917270566177</v>
      </c>
      <c r="I14" s="207">
        <v>2.1505665864931172</v>
      </c>
      <c r="J14" s="207">
        <v>2.1687917270566177</v>
      </c>
      <c r="K14" s="207">
        <v>1.8407391969136002</v>
      </c>
      <c r="L14" s="207">
        <v>1.9318648997311052</v>
      </c>
      <c r="M14" s="207">
        <v>0.63787991972253477</v>
      </c>
      <c r="N14" s="207">
        <v>1.8771894780406022</v>
      </c>
      <c r="O14" s="208">
        <v>21.23228875647866</v>
      </c>
    </row>
    <row r="15" spans="1:15" x14ac:dyDescent="0.2">
      <c r="A15" s="204"/>
      <c r="B15" s="205" t="s">
        <v>27</v>
      </c>
      <c r="C15" s="206">
        <v>28.912665979172726</v>
      </c>
      <c r="D15" s="207">
        <v>27.821621979958632</v>
      </c>
      <c r="E15" s="207">
        <v>27.276099980351614</v>
      </c>
      <c r="F15" s="207">
        <v>16.365659988210979</v>
      </c>
      <c r="G15" s="207">
        <v>26.185055981137523</v>
      </c>
      <c r="H15" s="207">
        <v>32.45855897661842</v>
      </c>
      <c r="I15" s="207">
        <v>32.185797976814889</v>
      </c>
      <c r="J15" s="207">
        <v>32.45855897661842</v>
      </c>
      <c r="K15" s="207">
        <v>27.548860980155094</v>
      </c>
      <c r="L15" s="207">
        <v>28.912665979172726</v>
      </c>
      <c r="M15" s="207">
        <v>9.5466349931230621</v>
      </c>
      <c r="N15" s="207">
        <v>28.09438297976217</v>
      </c>
      <c r="O15" s="208">
        <v>317.76656477109623</v>
      </c>
    </row>
    <row r="16" spans="1:15" x14ac:dyDescent="0.2">
      <c r="A16" s="204"/>
      <c r="B16" s="205" t="s">
        <v>48</v>
      </c>
      <c r="C16" s="209">
        <v>489.0223873977738</v>
      </c>
      <c r="D16" s="210">
        <v>470.56871240163139</v>
      </c>
      <c r="E16" s="210">
        <v>461.34187490356015</v>
      </c>
      <c r="F16" s="210">
        <v>276.8051249421361</v>
      </c>
      <c r="G16" s="210">
        <v>442.88819990741774</v>
      </c>
      <c r="H16" s="210">
        <v>548.99683113523656</v>
      </c>
      <c r="I16" s="210">
        <v>544.38341238620103</v>
      </c>
      <c r="J16" s="210">
        <v>548.99683113523656</v>
      </c>
      <c r="K16" s="210">
        <v>465.9552936525958</v>
      </c>
      <c r="L16" s="210">
        <v>489.0223873977738</v>
      </c>
      <c r="M16" s="210">
        <v>161.46965621624605</v>
      </c>
      <c r="N16" s="210">
        <v>475.18213115066698</v>
      </c>
      <c r="O16" s="211">
        <v>5374.6328426264772</v>
      </c>
    </row>
    <row r="17" spans="1:15" x14ac:dyDescent="0.2">
      <c r="A17" s="204"/>
      <c r="B17" s="205" t="s">
        <v>86</v>
      </c>
      <c r="C17" s="209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1">
        <v>0</v>
      </c>
    </row>
    <row r="18" spans="1:15" x14ac:dyDescent="0.2">
      <c r="A18" s="204"/>
      <c r="B18" s="205" t="s">
        <v>88</v>
      </c>
      <c r="C18" s="209">
        <v>0</v>
      </c>
      <c r="D18" s="210">
        <v>0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1">
        <v>0</v>
      </c>
    </row>
    <row r="19" spans="1:15" x14ac:dyDescent="0.2">
      <c r="A19" s="194" t="s">
        <v>13</v>
      </c>
      <c r="B19" s="194" t="s">
        <v>69</v>
      </c>
      <c r="C19" s="201">
        <v>6401.360309882436</v>
      </c>
      <c r="D19" s="202">
        <v>6703.1734955955244</v>
      </c>
      <c r="E19" s="202">
        <v>3850.5520951460126</v>
      </c>
      <c r="F19" s="202">
        <v>2935.3766287901967</v>
      </c>
      <c r="G19" s="202">
        <v>3592.550500907405</v>
      </c>
      <c r="H19" s="202">
        <v>4132.8934624259982</v>
      </c>
      <c r="I19" s="202">
        <v>4760.8596068935531</v>
      </c>
      <c r="J19" s="202">
        <v>4867.9546082756169</v>
      </c>
      <c r="K19" s="202">
        <v>4108.5536893846202</v>
      </c>
      <c r="L19" s="202">
        <v>3699.6455022894688</v>
      </c>
      <c r="M19" s="202">
        <v>3641.2300469901611</v>
      </c>
      <c r="N19" s="202">
        <v>5208.7114308549098</v>
      </c>
      <c r="O19" s="203">
        <v>53902.861377435896</v>
      </c>
    </row>
    <row r="20" spans="1:15" x14ac:dyDescent="0.2">
      <c r="A20" s="204"/>
      <c r="B20" s="205" t="s">
        <v>25</v>
      </c>
      <c r="C20" s="206">
        <v>334.71465490061928</v>
      </c>
      <c r="D20" s="207">
        <v>350.49587817350039</v>
      </c>
      <c r="E20" s="207">
        <v>201.33786465885169</v>
      </c>
      <c r="F20" s="207">
        <v>153.48512312172898</v>
      </c>
      <c r="G20" s="207">
        <v>187.84746411913102</v>
      </c>
      <c r="H20" s="207">
        <v>216.10094449477219</v>
      </c>
      <c r="I20" s="207">
        <v>248.9360703367347</v>
      </c>
      <c r="J20" s="207">
        <v>254.53585924001527</v>
      </c>
      <c r="K20" s="207">
        <v>214.82826519857235</v>
      </c>
      <c r="L20" s="207">
        <v>193.44725302241159</v>
      </c>
      <c r="M20" s="207">
        <v>190.39282271153115</v>
      </c>
      <c r="N20" s="207">
        <v>272.35336938681576</v>
      </c>
      <c r="O20" s="208">
        <v>2818.4755693646844</v>
      </c>
    </row>
    <row r="21" spans="1:15" x14ac:dyDescent="0.2">
      <c r="A21" s="204"/>
      <c r="B21" s="205" t="s">
        <v>26</v>
      </c>
      <c r="C21" s="206">
        <v>23.966059841003805</v>
      </c>
      <c r="D21" s="207">
        <v>25.096018555940866</v>
      </c>
      <c r="E21" s="207">
        <v>14.416086185729284</v>
      </c>
      <c r="F21" s="207">
        <v>10.989759759791099</v>
      </c>
      <c r="G21" s="207">
        <v>13.450153735863733</v>
      </c>
      <c r="H21" s="207">
        <v>15.473144338412341</v>
      </c>
      <c r="I21" s="207">
        <v>17.824187471103972</v>
      </c>
      <c r="J21" s="207">
        <v>18.225140563500993</v>
      </c>
      <c r="K21" s="207">
        <v>15.382018635594839</v>
      </c>
      <c r="L21" s="207">
        <v>13.851106828260754</v>
      </c>
      <c r="M21" s="207">
        <v>13.632405141498742</v>
      </c>
      <c r="N21" s="207">
        <v>19.500900402946062</v>
      </c>
      <c r="O21" s="208">
        <v>201.80698145964649</v>
      </c>
    </row>
    <row r="22" spans="1:15" x14ac:dyDescent="0.2">
      <c r="A22" s="204"/>
      <c r="B22" s="205" t="s">
        <v>27</v>
      </c>
      <c r="C22" s="206">
        <v>358.68071474162309</v>
      </c>
      <c r="D22" s="207">
        <v>375.59189672944126</v>
      </c>
      <c r="E22" s="207">
        <v>215.75395084458097</v>
      </c>
      <c r="F22" s="207">
        <v>164.47488288152007</v>
      </c>
      <c r="G22" s="207">
        <v>201.29761785499474</v>
      </c>
      <c r="H22" s="207">
        <v>231.57408883318453</v>
      </c>
      <c r="I22" s="207">
        <v>266.76025780783868</v>
      </c>
      <c r="J22" s="207">
        <v>272.76099980351626</v>
      </c>
      <c r="K22" s="207">
        <v>230.2102838341672</v>
      </c>
      <c r="L22" s="207">
        <v>207.29835985067234</v>
      </c>
      <c r="M22" s="207">
        <v>204.02522785302989</v>
      </c>
      <c r="N22" s="207">
        <v>291.85426978976182</v>
      </c>
      <c r="O22" s="208">
        <v>3020.2825508243304</v>
      </c>
    </row>
    <row r="23" spans="1:15" x14ac:dyDescent="0.2">
      <c r="A23" s="204"/>
      <c r="B23" s="205" t="s">
        <v>48</v>
      </c>
      <c r="C23" s="209">
        <v>6066.6456549818167</v>
      </c>
      <c r="D23" s="210">
        <v>6352.677617422024</v>
      </c>
      <c r="E23" s="210">
        <v>3649.2142304871609</v>
      </c>
      <c r="F23" s="210">
        <v>2781.8915056684677</v>
      </c>
      <c r="G23" s="210">
        <v>3404.7030367882739</v>
      </c>
      <c r="H23" s="210">
        <v>3916.792517931226</v>
      </c>
      <c r="I23" s="210">
        <v>4511.9235365568184</v>
      </c>
      <c r="J23" s="210">
        <v>4613.4187490356016</v>
      </c>
      <c r="K23" s="210">
        <v>3893.7254241860478</v>
      </c>
      <c r="L23" s="210">
        <v>3506.1982492670572</v>
      </c>
      <c r="M23" s="210">
        <v>3450.8372242786299</v>
      </c>
      <c r="N23" s="210">
        <v>4936.3580614680941</v>
      </c>
      <c r="O23" s="211">
        <v>51084.385808071209</v>
      </c>
    </row>
    <row r="24" spans="1:15" x14ac:dyDescent="0.2">
      <c r="A24" s="204"/>
      <c r="B24" s="205" t="s">
        <v>86</v>
      </c>
      <c r="C24" s="209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1">
        <v>0</v>
      </c>
    </row>
    <row r="25" spans="1:15" x14ac:dyDescent="0.2">
      <c r="A25" s="204"/>
      <c r="B25" s="205" t="s">
        <v>88</v>
      </c>
      <c r="C25" s="209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1">
        <v>0</v>
      </c>
    </row>
    <row r="26" spans="1:15" x14ac:dyDescent="0.2">
      <c r="A26" s="194" t="s">
        <v>15</v>
      </c>
      <c r="B26" s="194" t="s">
        <v>69</v>
      </c>
      <c r="C26" s="201">
        <v>34.075682257929316</v>
      </c>
      <c r="D26" s="202">
        <v>38.943636866204933</v>
      </c>
      <c r="E26" s="202">
        <v>34.075682257929316</v>
      </c>
      <c r="F26" s="202">
        <v>14.603863824826849</v>
      </c>
      <c r="G26" s="202">
        <v>24.339773041378084</v>
      </c>
      <c r="H26" s="202">
        <v>48.679546082756168</v>
      </c>
      <c r="I26" s="202">
        <v>82.755228340685477</v>
      </c>
      <c r="J26" s="202">
        <v>77.887273732409867</v>
      </c>
      <c r="K26" s="202">
        <v>38.943636866204933</v>
      </c>
      <c r="L26" s="202">
        <v>38.943636866204933</v>
      </c>
      <c r="M26" s="202">
        <v>29.207727649653698</v>
      </c>
      <c r="N26" s="202">
        <v>34.075682257929316</v>
      </c>
      <c r="O26" s="203">
        <v>496.53137004411292</v>
      </c>
    </row>
    <row r="27" spans="1:15" x14ac:dyDescent="0.2">
      <c r="A27" s="204"/>
      <c r="B27" s="205" t="s">
        <v>25</v>
      </c>
      <c r="C27" s="206">
        <v>1.7817510146801041</v>
      </c>
      <c r="D27" s="207">
        <v>2.036286873920119</v>
      </c>
      <c r="E27" s="207">
        <v>1.7817510146801041</v>
      </c>
      <c r="F27" s="207">
        <v>0.76360757772004462</v>
      </c>
      <c r="G27" s="207">
        <v>1.2726792962000744</v>
      </c>
      <c r="H27" s="207">
        <v>2.5453585924001487</v>
      </c>
      <c r="I27" s="207">
        <v>4.3271096070802457</v>
      </c>
      <c r="J27" s="207">
        <v>4.072573747840238</v>
      </c>
      <c r="K27" s="207">
        <v>2.036286873920119</v>
      </c>
      <c r="L27" s="207">
        <v>2.036286873920119</v>
      </c>
      <c r="M27" s="207">
        <v>1.5272151554400892</v>
      </c>
      <c r="N27" s="207">
        <v>1.7817510146801041</v>
      </c>
      <c r="O27" s="208">
        <v>25.96265764248151</v>
      </c>
    </row>
    <row r="28" spans="1:15" x14ac:dyDescent="0.2">
      <c r="A28" s="204"/>
      <c r="B28" s="205" t="s">
        <v>26</v>
      </c>
      <c r="C28" s="206">
        <v>0.12757598394450695</v>
      </c>
      <c r="D28" s="207">
        <v>0.14580112450800792</v>
      </c>
      <c r="E28" s="207">
        <v>0.12757598394450695</v>
      </c>
      <c r="F28" s="207">
        <v>5.4675421690502983E-2</v>
      </c>
      <c r="G28" s="207">
        <v>9.1125702817504955E-2</v>
      </c>
      <c r="H28" s="207">
        <v>0.18225140563500991</v>
      </c>
      <c r="I28" s="207">
        <v>0.30982738957951683</v>
      </c>
      <c r="J28" s="207">
        <v>0.29160224901601584</v>
      </c>
      <c r="K28" s="207">
        <v>0.14580112450800792</v>
      </c>
      <c r="L28" s="207">
        <v>0.14580112450800792</v>
      </c>
      <c r="M28" s="207">
        <v>0.10935084338100597</v>
      </c>
      <c r="N28" s="207">
        <v>0.12757598394450695</v>
      </c>
      <c r="O28" s="208">
        <v>1.8589643374771012</v>
      </c>
    </row>
    <row r="29" spans="1:15" x14ac:dyDescent="0.2">
      <c r="A29" s="204"/>
      <c r="B29" s="205" t="s">
        <v>27</v>
      </c>
      <c r="C29" s="206">
        <v>1.9093269986246111</v>
      </c>
      <c r="D29" s="207">
        <v>2.182087998428127</v>
      </c>
      <c r="E29" s="207">
        <v>1.9093269986246111</v>
      </c>
      <c r="F29" s="207">
        <v>0.81828299941054761</v>
      </c>
      <c r="G29" s="207">
        <v>1.3638049990175793</v>
      </c>
      <c r="H29" s="207">
        <v>2.7276099980351587</v>
      </c>
      <c r="I29" s="207">
        <v>4.6369369966597622</v>
      </c>
      <c r="J29" s="207">
        <v>4.3641759968562539</v>
      </c>
      <c r="K29" s="207">
        <v>2.182087998428127</v>
      </c>
      <c r="L29" s="207">
        <v>2.182087998428127</v>
      </c>
      <c r="M29" s="207">
        <v>1.6365659988210952</v>
      </c>
      <c r="N29" s="207">
        <v>1.9093269986246111</v>
      </c>
      <c r="O29" s="208">
        <v>27.821621979958611</v>
      </c>
    </row>
    <row r="30" spans="1:15" x14ac:dyDescent="0.2">
      <c r="A30" s="204"/>
      <c r="B30" s="205" t="s">
        <v>48</v>
      </c>
      <c r="C30" s="209">
        <v>32.293931243249212</v>
      </c>
      <c r="D30" s="210">
        <v>36.907349992284814</v>
      </c>
      <c r="E30" s="210">
        <v>32.293931243249212</v>
      </c>
      <c r="F30" s="210">
        <v>13.840256247106804</v>
      </c>
      <c r="G30" s="210">
        <v>23.06709374517801</v>
      </c>
      <c r="H30" s="210">
        <v>46.13418749035602</v>
      </c>
      <c r="I30" s="210">
        <v>78.428118733605231</v>
      </c>
      <c r="J30" s="210">
        <v>73.814699984569629</v>
      </c>
      <c r="K30" s="210">
        <v>36.907349992284814</v>
      </c>
      <c r="L30" s="210">
        <v>36.907349992284814</v>
      </c>
      <c r="M30" s="210">
        <v>27.680512494213609</v>
      </c>
      <c r="N30" s="210">
        <v>32.293931243249212</v>
      </c>
      <c r="O30" s="211">
        <v>470.56871240163139</v>
      </c>
    </row>
    <row r="31" spans="1:15" x14ac:dyDescent="0.2">
      <c r="A31" s="204"/>
      <c r="B31" s="205" t="s">
        <v>86</v>
      </c>
      <c r="C31" s="209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1">
        <v>0</v>
      </c>
    </row>
    <row r="32" spans="1:15" x14ac:dyDescent="0.2">
      <c r="A32" s="204"/>
      <c r="B32" s="205" t="s">
        <v>88</v>
      </c>
      <c r="C32" s="209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1">
        <v>0</v>
      </c>
    </row>
    <row r="33" spans="1:15" x14ac:dyDescent="0.2">
      <c r="A33" s="194" t="s">
        <v>16</v>
      </c>
      <c r="B33" s="194" t="s">
        <v>69</v>
      </c>
      <c r="C33" s="201">
        <v>9.7359092165512333</v>
      </c>
      <c r="D33" s="202">
        <v>14.603863824826849</v>
      </c>
      <c r="E33" s="202">
        <v>9.7359092165512333</v>
      </c>
      <c r="F33" s="202">
        <v>4.8679546082756167</v>
      </c>
      <c r="G33" s="202">
        <v>9.7359092165512333</v>
      </c>
      <c r="H33" s="202">
        <v>14.603863824826849</v>
      </c>
      <c r="I33" s="202">
        <v>34.075682257929316</v>
      </c>
      <c r="J33" s="202">
        <v>24.339773041378084</v>
      </c>
      <c r="K33" s="202">
        <v>9.7359092165512333</v>
      </c>
      <c r="L33" s="202">
        <v>14.603863824826849</v>
      </c>
      <c r="M33" s="202">
        <v>4.8679546082756167</v>
      </c>
      <c r="N33" s="202">
        <v>9.7359092165512333</v>
      </c>
      <c r="O33" s="203">
        <v>160.64250207309533</v>
      </c>
    </row>
    <row r="34" spans="1:15" x14ac:dyDescent="0.2">
      <c r="A34" s="204"/>
      <c r="B34" s="205" t="s">
        <v>25</v>
      </c>
      <c r="C34" s="206">
        <v>0.50907171848002974</v>
      </c>
      <c r="D34" s="207">
        <v>0.76360757772004462</v>
      </c>
      <c r="E34" s="207">
        <v>0.50907171848002974</v>
      </c>
      <c r="F34" s="207">
        <v>0.25453585924001487</v>
      </c>
      <c r="G34" s="207">
        <v>0.50907171848002974</v>
      </c>
      <c r="H34" s="207">
        <v>0.76360757772004462</v>
      </c>
      <c r="I34" s="207">
        <v>1.7817510146801041</v>
      </c>
      <c r="J34" s="207">
        <v>1.2726792962000744</v>
      </c>
      <c r="K34" s="207">
        <v>0.50907171848002974</v>
      </c>
      <c r="L34" s="207">
        <v>0.76360757772004462</v>
      </c>
      <c r="M34" s="207">
        <v>0.25453585924001487</v>
      </c>
      <c r="N34" s="207">
        <v>0.50907171848002974</v>
      </c>
      <c r="O34" s="208">
        <v>8.3996833549204908</v>
      </c>
    </row>
    <row r="35" spans="1:15" x14ac:dyDescent="0.2">
      <c r="A35" s="204"/>
      <c r="B35" s="205" t="s">
        <v>26</v>
      </c>
      <c r="C35" s="206">
        <v>3.6450281127001979E-2</v>
      </c>
      <c r="D35" s="207">
        <v>5.4675421690502983E-2</v>
      </c>
      <c r="E35" s="207">
        <v>3.6450281127001979E-2</v>
      </c>
      <c r="F35" s="207">
        <v>1.822514056350099E-2</v>
      </c>
      <c r="G35" s="207">
        <v>3.6450281127001979E-2</v>
      </c>
      <c r="H35" s="207">
        <v>5.4675421690502983E-2</v>
      </c>
      <c r="I35" s="207">
        <v>0.12757598394450695</v>
      </c>
      <c r="J35" s="207">
        <v>9.1125702817504955E-2</v>
      </c>
      <c r="K35" s="207">
        <v>3.6450281127001979E-2</v>
      </c>
      <c r="L35" s="207">
        <v>5.4675421690502983E-2</v>
      </c>
      <c r="M35" s="207">
        <v>1.822514056350099E-2</v>
      </c>
      <c r="N35" s="207">
        <v>3.6450281127001979E-2</v>
      </c>
      <c r="O35" s="208">
        <v>0.60142963859553278</v>
      </c>
    </row>
    <row r="36" spans="1:15" x14ac:dyDescent="0.2">
      <c r="A36" s="204"/>
      <c r="B36" s="205" t="s">
        <v>27</v>
      </c>
      <c r="C36" s="206">
        <v>0.54552199960703174</v>
      </c>
      <c r="D36" s="207">
        <v>0.81828299941054761</v>
      </c>
      <c r="E36" s="207">
        <v>0.54552199960703174</v>
      </c>
      <c r="F36" s="207">
        <v>0.27276099980351587</v>
      </c>
      <c r="G36" s="207">
        <v>0.54552199960703174</v>
      </c>
      <c r="H36" s="207">
        <v>0.81828299941054761</v>
      </c>
      <c r="I36" s="207">
        <v>1.9093269986246111</v>
      </c>
      <c r="J36" s="207">
        <v>1.3638049990175793</v>
      </c>
      <c r="K36" s="207">
        <v>0.54552199960703174</v>
      </c>
      <c r="L36" s="207">
        <v>0.81828299941054761</v>
      </c>
      <c r="M36" s="207">
        <v>0.27276099980351587</v>
      </c>
      <c r="N36" s="207">
        <v>0.54552199960703174</v>
      </c>
      <c r="O36" s="208">
        <v>9.0011129935160241</v>
      </c>
    </row>
    <row r="37" spans="1:15" x14ac:dyDescent="0.2">
      <c r="A37" s="204"/>
      <c r="B37" s="205" t="s">
        <v>48</v>
      </c>
      <c r="C37" s="209">
        <v>9.2268374980712036</v>
      </c>
      <c r="D37" s="210">
        <v>13.840256247106804</v>
      </c>
      <c r="E37" s="210">
        <v>9.2268374980712036</v>
      </c>
      <c r="F37" s="210">
        <v>4.6134187490356018</v>
      </c>
      <c r="G37" s="210">
        <v>9.2268374980712036</v>
      </c>
      <c r="H37" s="210">
        <v>13.840256247106804</v>
      </c>
      <c r="I37" s="210">
        <v>32.293931243249212</v>
      </c>
      <c r="J37" s="210">
        <v>23.06709374517801</v>
      </c>
      <c r="K37" s="210">
        <v>9.2268374980712036</v>
      </c>
      <c r="L37" s="210">
        <v>13.840256247106804</v>
      </c>
      <c r="M37" s="210">
        <v>4.6134187490356018</v>
      </c>
      <c r="N37" s="210">
        <v>9.2268374980712036</v>
      </c>
      <c r="O37" s="211">
        <v>152.24281871817485</v>
      </c>
    </row>
    <row r="38" spans="1:15" x14ac:dyDescent="0.2">
      <c r="A38" s="204"/>
      <c r="B38" s="205" t="s">
        <v>86</v>
      </c>
      <c r="C38" s="209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0">
        <v>0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1">
        <v>0</v>
      </c>
    </row>
    <row r="39" spans="1:15" x14ac:dyDescent="0.2">
      <c r="A39" s="204"/>
      <c r="B39" s="205" t="s">
        <v>88</v>
      </c>
      <c r="C39" s="209">
        <v>0</v>
      </c>
      <c r="D39" s="210">
        <v>0</v>
      </c>
      <c r="E39" s="210">
        <v>0</v>
      </c>
      <c r="F39" s="210">
        <v>0</v>
      </c>
      <c r="G39" s="210">
        <v>0</v>
      </c>
      <c r="H39" s="210">
        <v>0</v>
      </c>
      <c r="I39" s="210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1">
        <v>0</v>
      </c>
    </row>
    <row r="40" spans="1:15" x14ac:dyDescent="0.2">
      <c r="A40" s="194" t="s">
        <v>19</v>
      </c>
      <c r="B40" s="194" t="s">
        <v>69</v>
      </c>
      <c r="C40" s="201">
        <v>340.75682257929316</v>
      </c>
      <c r="D40" s="202">
        <v>243.39773041378083</v>
      </c>
      <c r="E40" s="202">
        <v>326.15295875446634</v>
      </c>
      <c r="F40" s="202">
        <v>345.62477718756878</v>
      </c>
      <c r="G40" s="202">
        <v>311.54909492963947</v>
      </c>
      <c r="H40" s="202">
        <v>350.49273179584441</v>
      </c>
      <c r="I40" s="202">
        <v>53.547500691031786</v>
      </c>
      <c r="J40" s="202">
        <v>301.81318571308822</v>
      </c>
      <c r="K40" s="202">
        <v>350.49273179584441</v>
      </c>
      <c r="L40" s="202">
        <v>350.49273179584441</v>
      </c>
      <c r="M40" s="202">
        <v>326.15295875446634</v>
      </c>
      <c r="N40" s="202">
        <v>331.02091336274191</v>
      </c>
      <c r="O40" s="203">
        <v>3631.4941377736104</v>
      </c>
    </row>
    <row r="41" spans="1:15" x14ac:dyDescent="0.2">
      <c r="A41" s="204"/>
      <c r="B41" s="205" t="s">
        <v>25</v>
      </c>
      <c r="C41" s="206">
        <v>17.817510146801055</v>
      </c>
      <c r="D41" s="207">
        <v>12.726792962000758</v>
      </c>
      <c r="E41" s="207">
        <v>17.053902569081004</v>
      </c>
      <c r="F41" s="207">
        <v>18.072046006041035</v>
      </c>
      <c r="G41" s="207">
        <v>16.290294991360952</v>
      </c>
      <c r="H41" s="207">
        <v>18.326581865281071</v>
      </c>
      <c r="I41" s="207">
        <v>2.7998944516401636</v>
      </c>
      <c r="J41" s="207">
        <v>15.781223272880879</v>
      </c>
      <c r="K41" s="207">
        <v>18.326581865281071</v>
      </c>
      <c r="L41" s="207">
        <v>18.326581865281071</v>
      </c>
      <c r="M41" s="207">
        <v>17.053902569081004</v>
      </c>
      <c r="N41" s="207">
        <v>17.308438428320983</v>
      </c>
      <c r="O41" s="208">
        <v>189.88375099305105</v>
      </c>
    </row>
    <row r="42" spans="1:15" x14ac:dyDescent="0.2">
      <c r="A42" s="204"/>
      <c r="B42" s="205" t="s">
        <v>26</v>
      </c>
      <c r="C42" s="206">
        <v>1.2757598394450695</v>
      </c>
      <c r="D42" s="207">
        <v>0.91125702817504972</v>
      </c>
      <c r="E42" s="207">
        <v>1.2210844177545666</v>
      </c>
      <c r="F42" s="207">
        <v>1.2939849800085705</v>
      </c>
      <c r="G42" s="207">
        <v>1.1664089960640633</v>
      </c>
      <c r="H42" s="207">
        <v>1.3122101205720713</v>
      </c>
      <c r="I42" s="207">
        <v>0.20047654619851094</v>
      </c>
      <c r="J42" s="207">
        <v>1.1299587149370616</v>
      </c>
      <c r="K42" s="207">
        <v>1.3122101205720713</v>
      </c>
      <c r="L42" s="207">
        <v>1.3122101205720713</v>
      </c>
      <c r="M42" s="207">
        <v>1.2210844177545666</v>
      </c>
      <c r="N42" s="207">
        <v>1.2393095583180673</v>
      </c>
      <c r="O42" s="208">
        <v>13.595954860371741</v>
      </c>
    </row>
    <row r="43" spans="1:15" x14ac:dyDescent="0.2">
      <c r="A43" s="204"/>
      <c r="B43" s="205" t="s">
        <v>27</v>
      </c>
      <c r="C43" s="206">
        <v>19.093269986246124</v>
      </c>
      <c r="D43" s="207">
        <v>13.638049990175807</v>
      </c>
      <c r="E43" s="207">
        <v>18.274986986835572</v>
      </c>
      <c r="F43" s="207">
        <v>19.366030986049605</v>
      </c>
      <c r="G43" s="207">
        <v>17.456703987425016</v>
      </c>
      <c r="H43" s="207">
        <v>19.638791985853143</v>
      </c>
      <c r="I43" s="207">
        <v>3.0003709978386746</v>
      </c>
      <c r="J43" s="207">
        <v>16.91118198781794</v>
      </c>
      <c r="K43" s="207">
        <v>19.638791985853143</v>
      </c>
      <c r="L43" s="207">
        <v>19.638791985853143</v>
      </c>
      <c r="M43" s="207">
        <v>18.274986986835572</v>
      </c>
      <c r="N43" s="207">
        <v>18.547747986639049</v>
      </c>
      <c r="O43" s="208">
        <v>203.47970585342281</v>
      </c>
    </row>
    <row r="44" spans="1:15" x14ac:dyDescent="0.2">
      <c r="A44" s="204"/>
      <c r="B44" s="205" t="s">
        <v>48</v>
      </c>
      <c r="C44" s="209">
        <v>322.9393124324921</v>
      </c>
      <c r="D44" s="210">
        <v>230.67093745178008</v>
      </c>
      <c r="E44" s="210">
        <v>309.09905618538534</v>
      </c>
      <c r="F44" s="210">
        <v>327.55273118152775</v>
      </c>
      <c r="G44" s="210">
        <v>295.25879993827851</v>
      </c>
      <c r="H44" s="210">
        <v>332.16614993056334</v>
      </c>
      <c r="I44" s="210">
        <v>50.747606239391622</v>
      </c>
      <c r="J44" s="210">
        <v>286.03196244020734</v>
      </c>
      <c r="K44" s="210">
        <v>332.16614993056334</v>
      </c>
      <c r="L44" s="210">
        <v>332.16614993056334</v>
      </c>
      <c r="M44" s="210">
        <v>309.09905618538534</v>
      </c>
      <c r="N44" s="210">
        <v>313.71247493442092</v>
      </c>
      <c r="O44" s="211">
        <v>3441.6103867805587</v>
      </c>
    </row>
    <row r="45" spans="1:15" x14ac:dyDescent="0.2">
      <c r="A45" s="204"/>
      <c r="B45" s="205" t="s">
        <v>86</v>
      </c>
      <c r="C45" s="209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1">
        <v>0</v>
      </c>
    </row>
    <row r="46" spans="1:15" x14ac:dyDescent="0.2">
      <c r="A46" s="204"/>
      <c r="B46" s="205" t="s">
        <v>88</v>
      </c>
      <c r="C46" s="209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10">
        <v>0</v>
      </c>
      <c r="O46" s="211">
        <v>0</v>
      </c>
    </row>
    <row r="47" spans="1:15" x14ac:dyDescent="0.2">
      <c r="A47" s="194" t="s">
        <v>8</v>
      </c>
      <c r="B47" s="194" t="s">
        <v>69</v>
      </c>
      <c r="C47" s="201">
        <v>433.24796013652985</v>
      </c>
      <c r="D47" s="202">
        <v>496.53137004411292</v>
      </c>
      <c r="E47" s="202">
        <v>311.54909492963947</v>
      </c>
      <c r="F47" s="202">
        <v>345.62477718756878</v>
      </c>
      <c r="G47" s="202">
        <v>525.73909769376655</v>
      </c>
      <c r="H47" s="202">
        <v>632.83409907583018</v>
      </c>
      <c r="I47" s="202">
        <v>735.06114584961813</v>
      </c>
      <c r="J47" s="202">
        <v>705.85341819996438</v>
      </c>
      <c r="K47" s="202">
        <v>613.36228064272768</v>
      </c>
      <c r="L47" s="202">
        <v>516.00318847721542</v>
      </c>
      <c r="M47" s="202">
        <v>326.15295875446634</v>
      </c>
      <c r="N47" s="202">
        <v>399.17227787860054</v>
      </c>
      <c r="O47" s="203">
        <v>6041.1316688700408</v>
      </c>
    </row>
    <row r="48" spans="1:15" x14ac:dyDescent="0.2">
      <c r="A48" s="204"/>
      <c r="B48" s="205" t="s">
        <v>25</v>
      </c>
      <c r="C48" s="206">
        <v>22.653691472361288</v>
      </c>
      <c r="D48" s="207">
        <v>25.962657642481531</v>
      </c>
      <c r="E48" s="207">
        <v>16.290294991360952</v>
      </c>
      <c r="F48" s="207">
        <v>18.072046006041035</v>
      </c>
      <c r="G48" s="207">
        <v>27.489872797921578</v>
      </c>
      <c r="H48" s="207">
        <v>33.089661701201976</v>
      </c>
      <c r="I48" s="207">
        <v>38.434914745242281</v>
      </c>
      <c r="J48" s="207">
        <v>36.907699589802178</v>
      </c>
      <c r="K48" s="207">
        <v>32.071518264241831</v>
      </c>
      <c r="L48" s="207">
        <v>26.980801079441619</v>
      </c>
      <c r="M48" s="207">
        <v>17.053902569081004</v>
      </c>
      <c r="N48" s="207">
        <v>20.871940457681205</v>
      </c>
      <c r="O48" s="208">
        <v>315.87900131685848</v>
      </c>
    </row>
    <row r="49" spans="1:15" x14ac:dyDescent="0.2">
      <c r="A49" s="204"/>
      <c r="B49" s="205" t="s">
        <v>26</v>
      </c>
      <c r="C49" s="206">
        <v>1.6220375101515883</v>
      </c>
      <c r="D49" s="207">
        <v>1.8589643374771012</v>
      </c>
      <c r="E49" s="207">
        <v>1.1664089960640633</v>
      </c>
      <c r="F49" s="207">
        <v>1.2939849800085705</v>
      </c>
      <c r="G49" s="207">
        <v>1.9683151808581072</v>
      </c>
      <c r="H49" s="207">
        <v>2.3692682732551291</v>
      </c>
      <c r="I49" s="207">
        <v>2.75199622508865</v>
      </c>
      <c r="J49" s="207">
        <v>2.6426453817076436</v>
      </c>
      <c r="K49" s="207">
        <v>2.2963677110011251</v>
      </c>
      <c r="L49" s="207">
        <v>1.9318648997311052</v>
      </c>
      <c r="M49" s="207">
        <v>1.2210844177545666</v>
      </c>
      <c r="N49" s="207">
        <v>1.4944615262070815</v>
      </c>
      <c r="O49" s="208">
        <v>22.617399439304734</v>
      </c>
    </row>
    <row r="50" spans="1:15" x14ac:dyDescent="0.2">
      <c r="A50" s="204"/>
      <c r="B50" s="205" t="s">
        <v>27</v>
      </c>
      <c r="C50" s="206">
        <v>24.275728982512877</v>
      </c>
      <c r="D50" s="207">
        <v>27.821621979958632</v>
      </c>
      <c r="E50" s="207">
        <v>17.456703987425016</v>
      </c>
      <c r="F50" s="207">
        <v>19.366030986049605</v>
      </c>
      <c r="G50" s="207">
        <v>29.458187978779684</v>
      </c>
      <c r="H50" s="207">
        <v>35.458929974457106</v>
      </c>
      <c r="I50" s="207">
        <v>41.186910970330928</v>
      </c>
      <c r="J50" s="207">
        <v>39.550344971509823</v>
      </c>
      <c r="K50" s="207">
        <v>34.367885975242956</v>
      </c>
      <c r="L50" s="207">
        <v>28.912665979172726</v>
      </c>
      <c r="M50" s="207">
        <v>18.274986986835572</v>
      </c>
      <c r="N50" s="207">
        <v>22.366401983888288</v>
      </c>
      <c r="O50" s="208">
        <v>338.49640075616327</v>
      </c>
    </row>
    <row r="51" spans="1:15" x14ac:dyDescent="0.2">
      <c r="A51" s="204"/>
      <c r="B51" s="205" t="s">
        <v>48</v>
      </c>
      <c r="C51" s="209">
        <v>410.59426866416857</v>
      </c>
      <c r="D51" s="210">
        <v>470.56871240163139</v>
      </c>
      <c r="E51" s="210">
        <v>295.25879993827851</v>
      </c>
      <c r="F51" s="210">
        <v>327.55273118152775</v>
      </c>
      <c r="G51" s="210">
        <v>498.24922489584497</v>
      </c>
      <c r="H51" s="210">
        <v>599.74443737462821</v>
      </c>
      <c r="I51" s="210">
        <v>696.62623110437585</v>
      </c>
      <c r="J51" s="210">
        <v>668.9457186101622</v>
      </c>
      <c r="K51" s="210">
        <v>581.29076237848585</v>
      </c>
      <c r="L51" s="210">
        <v>489.0223873977738</v>
      </c>
      <c r="M51" s="210">
        <v>309.09905618538534</v>
      </c>
      <c r="N51" s="210">
        <v>378.30033742091933</v>
      </c>
      <c r="O51" s="211">
        <v>5725.2526675531817</v>
      </c>
    </row>
    <row r="52" spans="1:15" x14ac:dyDescent="0.2">
      <c r="A52" s="204"/>
      <c r="B52" s="205" t="s">
        <v>86</v>
      </c>
      <c r="C52" s="209">
        <v>0</v>
      </c>
      <c r="D52" s="210">
        <v>0</v>
      </c>
      <c r="E52" s="210">
        <v>0</v>
      </c>
      <c r="F52" s="210">
        <v>0</v>
      </c>
      <c r="G52" s="210">
        <v>0</v>
      </c>
      <c r="H52" s="210">
        <v>0</v>
      </c>
      <c r="I52" s="210">
        <v>0</v>
      </c>
      <c r="J52" s="210">
        <v>0</v>
      </c>
      <c r="K52" s="210">
        <v>0</v>
      </c>
      <c r="L52" s="210">
        <v>0</v>
      </c>
      <c r="M52" s="210">
        <v>0</v>
      </c>
      <c r="N52" s="210">
        <v>0</v>
      </c>
      <c r="O52" s="211">
        <v>0</v>
      </c>
    </row>
    <row r="53" spans="1:15" x14ac:dyDescent="0.2">
      <c r="A53" s="204"/>
      <c r="B53" s="205" t="s">
        <v>88</v>
      </c>
      <c r="C53" s="209">
        <v>0</v>
      </c>
      <c r="D53" s="210">
        <v>0</v>
      </c>
      <c r="E53" s="210">
        <v>0</v>
      </c>
      <c r="F53" s="210">
        <v>0</v>
      </c>
      <c r="G53" s="210">
        <v>0</v>
      </c>
      <c r="H53" s="210">
        <v>0</v>
      </c>
      <c r="I53" s="210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1">
        <v>0</v>
      </c>
    </row>
    <row r="54" spans="1:15" x14ac:dyDescent="0.2">
      <c r="A54" s="194" t="s">
        <v>21</v>
      </c>
      <c r="B54" s="194" t="s">
        <v>69</v>
      </c>
      <c r="C54" s="201">
        <v>14316.654502938589</v>
      </c>
      <c r="D54" s="202">
        <v>15679.681793255761</v>
      </c>
      <c r="E54" s="202">
        <v>11775.582197418717</v>
      </c>
      <c r="F54" s="202">
        <v>13226.232670684851</v>
      </c>
      <c r="G54" s="202">
        <v>16443.950666755034</v>
      </c>
      <c r="H54" s="202">
        <v>18615.058422045957</v>
      </c>
      <c r="I54" s="202">
        <v>20007.293440012785</v>
      </c>
      <c r="J54" s="202">
        <v>19939.142075496926</v>
      </c>
      <c r="K54" s="202">
        <v>17802.110002463931</v>
      </c>
      <c r="L54" s="202">
        <v>15874.399977586785</v>
      </c>
      <c r="M54" s="202">
        <v>11921.620835666985</v>
      </c>
      <c r="N54" s="202">
        <v>13713.028131512412</v>
      </c>
      <c r="O54" s="203">
        <v>189314.7547158387</v>
      </c>
    </row>
    <row r="55" spans="1:15" x14ac:dyDescent="0.2">
      <c r="A55" s="204"/>
      <c r="B55" s="205" t="s">
        <v>25</v>
      </c>
      <c r="C55" s="206">
        <v>748.58996202488379</v>
      </c>
      <c r="D55" s="207">
        <v>819.86000261208756</v>
      </c>
      <c r="E55" s="207">
        <v>615.72224350159559</v>
      </c>
      <c r="F55" s="207">
        <v>691.57392955512114</v>
      </c>
      <c r="G55" s="207">
        <v>859.82213251277062</v>
      </c>
      <c r="H55" s="207">
        <v>973.34512573381653</v>
      </c>
      <c r="I55" s="207">
        <v>1046.1423814764603</v>
      </c>
      <c r="J55" s="207">
        <v>1042.5788794471009</v>
      </c>
      <c r="K55" s="207">
        <v>930.83763724073651</v>
      </c>
      <c r="L55" s="207">
        <v>830.04143698168809</v>
      </c>
      <c r="M55" s="207">
        <v>623.35831927879553</v>
      </c>
      <c r="N55" s="207">
        <v>717.02751547912158</v>
      </c>
      <c r="O55" s="208">
        <v>9898.8995658441781</v>
      </c>
    </row>
    <row r="56" spans="1:15" x14ac:dyDescent="0.2">
      <c r="A56" s="204"/>
      <c r="B56" s="205" t="s">
        <v>26</v>
      </c>
      <c r="C56" s="206">
        <v>53.600138397256423</v>
      </c>
      <c r="D56" s="207">
        <v>58.703177755036698</v>
      </c>
      <c r="E56" s="207">
        <v>44.086615023108905</v>
      </c>
      <c r="F56" s="207">
        <v>49.517706911032192</v>
      </c>
      <c r="G56" s="207">
        <v>61.564524823506346</v>
      </c>
      <c r="H56" s="207">
        <v>69.69293751482779</v>
      </c>
      <c r="I56" s="207">
        <v>74.905327715989074</v>
      </c>
      <c r="J56" s="207">
        <v>74.650175748100054</v>
      </c>
      <c r="K56" s="207">
        <v>66.649339040723135</v>
      </c>
      <c r="L56" s="207">
        <v>59.432183377576735</v>
      </c>
      <c r="M56" s="207">
        <v>44.633369240013934</v>
      </c>
      <c r="N56" s="207">
        <v>51.340220967382294</v>
      </c>
      <c r="O56" s="208">
        <v>708.77571651455355</v>
      </c>
    </row>
    <row r="57" spans="1:15" x14ac:dyDescent="0.2">
      <c r="A57" s="204"/>
      <c r="B57" s="205" t="s">
        <v>27</v>
      </c>
      <c r="C57" s="206">
        <v>802.19010042214018</v>
      </c>
      <c r="D57" s="207">
        <v>878.56318036712423</v>
      </c>
      <c r="E57" s="207">
        <v>659.80885852470453</v>
      </c>
      <c r="F57" s="207">
        <v>741.09163646615332</v>
      </c>
      <c r="G57" s="207">
        <v>921.38665733627693</v>
      </c>
      <c r="H57" s="207">
        <v>1043.0380632486442</v>
      </c>
      <c r="I57" s="207">
        <v>1121.0477091924495</v>
      </c>
      <c r="J57" s="207">
        <v>1117.229055195201</v>
      </c>
      <c r="K57" s="207">
        <v>997.48697628145965</v>
      </c>
      <c r="L57" s="207">
        <v>889.47362035926483</v>
      </c>
      <c r="M57" s="207">
        <v>667.9916885188095</v>
      </c>
      <c r="N57" s="207">
        <v>768.36773644650384</v>
      </c>
      <c r="O57" s="208">
        <v>10607.675282358734</v>
      </c>
    </row>
    <row r="58" spans="1:15" x14ac:dyDescent="0.2">
      <c r="A58" s="204"/>
      <c r="B58" s="205" t="s">
        <v>48</v>
      </c>
      <c r="C58" s="209">
        <v>13568.064540913705</v>
      </c>
      <c r="D58" s="210">
        <v>14859.821790643673</v>
      </c>
      <c r="E58" s="210">
        <v>11159.859953917121</v>
      </c>
      <c r="F58" s="210">
        <v>12534.65874112973</v>
      </c>
      <c r="G58" s="210">
        <v>15584.128534242263</v>
      </c>
      <c r="H58" s="210">
        <v>17641.71329631214</v>
      </c>
      <c r="I58" s="210">
        <v>18961.151058536325</v>
      </c>
      <c r="J58" s="210">
        <v>18896.563196049825</v>
      </c>
      <c r="K58" s="210">
        <v>16871.272365223194</v>
      </c>
      <c r="L58" s="210">
        <v>15044.358540605097</v>
      </c>
      <c r="M58" s="210">
        <v>11298.262516388189</v>
      </c>
      <c r="N58" s="210">
        <v>12996.00061603329</v>
      </c>
      <c r="O58" s="211">
        <v>179415.85514999458</v>
      </c>
    </row>
    <row r="59" spans="1:15" x14ac:dyDescent="0.2">
      <c r="A59" s="204"/>
      <c r="B59" s="205" t="s">
        <v>86</v>
      </c>
      <c r="C59" s="209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0">
        <v>0</v>
      </c>
      <c r="J59" s="210">
        <v>0</v>
      </c>
      <c r="K59" s="210">
        <v>0</v>
      </c>
      <c r="L59" s="210">
        <v>0</v>
      </c>
      <c r="M59" s="210">
        <v>0</v>
      </c>
      <c r="N59" s="210">
        <v>0</v>
      </c>
      <c r="O59" s="211">
        <v>0</v>
      </c>
    </row>
    <row r="60" spans="1:15" x14ac:dyDescent="0.2">
      <c r="A60" s="204"/>
      <c r="B60" s="205" t="s">
        <v>88</v>
      </c>
      <c r="C60" s="209">
        <v>0</v>
      </c>
      <c r="D60" s="210">
        <v>0</v>
      </c>
      <c r="E60" s="210">
        <v>0</v>
      </c>
      <c r="F60" s="210">
        <v>0</v>
      </c>
      <c r="G60" s="210">
        <v>0</v>
      </c>
      <c r="H60" s="210">
        <v>0</v>
      </c>
      <c r="I60" s="210">
        <v>0</v>
      </c>
      <c r="J60" s="210">
        <v>0</v>
      </c>
      <c r="K60" s="210">
        <v>0</v>
      </c>
      <c r="L60" s="210">
        <v>0</v>
      </c>
      <c r="M60" s="210">
        <v>0</v>
      </c>
      <c r="N60" s="210">
        <v>0</v>
      </c>
      <c r="O60" s="211">
        <v>0</v>
      </c>
    </row>
    <row r="61" spans="1:15" x14ac:dyDescent="0.2">
      <c r="A61" s="194" t="s">
        <v>22</v>
      </c>
      <c r="B61" s="194" t="s">
        <v>69</v>
      </c>
      <c r="C61" s="201">
        <v>16619.197032652955</v>
      </c>
      <c r="D61" s="202">
        <v>16210.288845557803</v>
      </c>
      <c r="E61" s="202">
        <v>12087.131292348357</v>
      </c>
      <c r="F61" s="202">
        <v>12408.416296494546</v>
      </c>
      <c r="G61" s="202">
        <v>14637.939507084779</v>
      </c>
      <c r="H61" s="202">
        <v>16439.082712146759</v>
      </c>
      <c r="I61" s="202">
        <v>18123.395006610121</v>
      </c>
      <c r="J61" s="202">
        <v>18084.451369743914</v>
      </c>
      <c r="K61" s="202">
        <v>15850.060204545407</v>
      </c>
      <c r="L61" s="202">
        <v>14672.015189342708</v>
      </c>
      <c r="M61" s="202">
        <v>11381.277874148393</v>
      </c>
      <c r="N61" s="202">
        <v>14452.957231970306</v>
      </c>
      <c r="O61" s="203">
        <v>180966.21256264605</v>
      </c>
    </row>
    <row r="62" spans="1:15" x14ac:dyDescent="0.2">
      <c r="A62" s="204"/>
      <c r="B62" s="205" t="s">
        <v>25</v>
      </c>
      <c r="C62" s="206">
        <v>868.98542344541056</v>
      </c>
      <c r="D62" s="207">
        <v>847.60441126924889</v>
      </c>
      <c r="E62" s="207">
        <v>632.0125384929579</v>
      </c>
      <c r="F62" s="207">
        <v>648.81190520279779</v>
      </c>
      <c r="G62" s="207">
        <v>765.38932873472368</v>
      </c>
      <c r="H62" s="207">
        <v>859.56759665353275</v>
      </c>
      <c r="I62" s="207">
        <v>947.63700395057458</v>
      </c>
      <c r="J62" s="207">
        <v>945.60071707665338</v>
      </c>
      <c r="K62" s="207">
        <v>828.7687576854878</v>
      </c>
      <c r="L62" s="207">
        <v>767.17107974940518</v>
      </c>
      <c r="M62" s="207">
        <v>595.10483890315481</v>
      </c>
      <c r="N62" s="207">
        <v>755.71696608360435</v>
      </c>
      <c r="O62" s="208">
        <v>9462.3705672475517</v>
      </c>
    </row>
    <row r="63" spans="1:15" x14ac:dyDescent="0.2">
      <c r="A63" s="204"/>
      <c r="B63" s="205" t="s">
        <v>26</v>
      </c>
      <c r="C63" s="206">
        <v>62.220629883792398</v>
      </c>
      <c r="D63" s="207">
        <v>60.689718076458306</v>
      </c>
      <c r="E63" s="207">
        <v>45.253024019172962</v>
      </c>
      <c r="F63" s="207">
        <v>46.455883296364028</v>
      </c>
      <c r="G63" s="207">
        <v>54.802997674447482</v>
      </c>
      <c r="H63" s="207">
        <v>61.546299682942852</v>
      </c>
      <c r="I63" s="207">
        <v>67.852198317914201</v>
      </c>
      <c r="J63" s="207">
        <v>67.70639719340619</v>
      </c>
      <c r="K63" s="207">
        <v>59.341057674759234</v>
      </c>
      <c r="L63" s="207">
        <v>54.930573658391992</v>
      </c>
      <c r="M63" s="207">
        <v>42.610378637465324</v>
      </c>
      <c r="N63" s="207">
        <v>54.110442333034449</v>
      </c>
      <c r="O63" s="208">
        <v>677.51960044814939</v>
      </c>
    </row>
    <row r="64" spans="1:15" x14ac:dyDescent="0.2">
      <c r="A64" s="204"/>
      <c r="B64" s="205" t="s">
        <v>27</v>
      </c>
      <c r="C64" s="206">
        <v>931.20605332920297</v>
      </c>
      <c r="D64" s="207">
        <v>908.29412934570723</v>
      </c>
      <c r="E64" s="207">
        <v>677.26556251213083</v>
      </c>
      <c r="F64" s="207">
        <v>695.26778849916184</v>
      </c>
      <c r="G64" s="207">
        <v>820.19232640917119</v>
      </c>
      <c r="H64" s="207">
        <v>921.11389633647559</v>
      </c>
      <c r="I64" s="207">
        <v>1015.4892022684887</v>
      </c>
      <c r="J64" s="207">
        <v>1013.3071142700596</v>
      </c>
      <c r="K64" s="207">
        <v>888.10981536024701</v>
      </c>
      <c r="L64" s="207">
        <v>822.10165340779713</v>
      </c>
      <c r="M64" s="207">
        <v>637.71521754062019</v>
      </c>
      <c r="N64" s="207">
        <v>809.82740841663883</v>
      </c>
      <c r="O64" s="208">
        <v>10139.890167695701</v>
      </c>
    </row>
    <row r="65" spans="1:15" x14ac:dyDescent="0.2">
      <c r="A65" s="204"/>
      <c r="B65" s="205" t="s">
        <v>48</v>
      </c>
      <c r="C65" s="209">
        <v>15750.211609207545</v>
      </c>
      <c r="D65" s="210">
        <v>15362.684434288554</v>
      </c>
      <c r="E65" s="210">
        <v>11455.118753855399</v>
      </c>
      <c r="F65" s="210">
        <v>11759.604391291748</v>
      </c>
      <c r="G65" s="210">
        <v>13872.550178350055</v>
      </c>
      <c r="H65" s="210">
        <v>15579.515115493226</v>
      </c>
      <c r="I65" s="210">
        <v>17175.758002659546</v>
      </c>
      <c r="J65" s="210">
        <v>17138.850652667261</v>
      </c>
      <c r="K65" s="210">
        <v>15021.291446859919</v>
      </c>
      <c r="L65" s="210">
        <v>13904.844109593303</v>
      </c>
      <c r="M65" s="210">
        <v>10786.173035245238</v>
      </c>
      <c r="N65" s="210">
        <v>13697.240265886701</v>
      </c>
      <c r="O65" s="211">
        <v>171503.84199539851</v>
      </c>
    </row>
    <row r="66" spans="1:15" x14ac:dyDescent="0.2">
      <c r="A66" s="204"/>
      <c r="B66" s="205" t="s">
        <v>86</v>
      </c>
      <c r="C66" s="209">
        <v>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210">
        <v>0</v>
      </c>
      <c r="J66" s="210">
        <v>0</v>
      </c>
      <c r="K66" s="210">
        <v>0</v>
      </c>
      <c r="L66" s="210">
        <v>0</v>
      </c>
      <c r="M66" s="210">
        <v>0</v>
      </c>
      <c r="N66" s="210">
        <v>0</v>
      </c>
      <c r="O66" s="211">
        <v>0</v>
      </c>
    </row>
    <row r="67" spans="1:15" x14ac:dyDescent="0.2">
      <c r="A67" s="204"/>
      <c r="B67" s="205" t="s">
        <v>88</v>
      </c>
      <c r="C67" s="209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210">
        <v>0</v>
      </c>
      <c r="J67" s="210">
        <v>0</v>
      </c>
      <c r="K67" s="210">
        <v>0</v>
      </c>
      <c r="L67" s="210">
        <v>0</v>
      </c>
      <c r="M67" s="210">
        <v>0</v>
      </c>
      <c r="N67" s="210">
        <v>0</v>
      </c>
      <c r="O67" s="211">
        <v>0</v>
      </c>
    </row>
    <row r="68" spans="1:15" x14ac:dyDescent="0.2">
      <c r="A68" s="194" t="s">
        <v>9</v>
      </c>
      <c r="B68" s="194" t="s">
        <v>69</v>
      </c>
      <c r="C68" s="201">
        <v>326.15295875446634</v>
      </c>
      <c r="D68" s="202">
        <v>345.62477718756878</v>
      </c>
      <c r="E68" s="202">
        <v>238.52977580550521</v>
      </c>
      <c r="F68" s="202">
        <v>180.11432050619783</v>
      </c>
      <c r="G68" s="202">
        <v>243.39773041378083</v>
      </c>
      <c r="H68" s="202">
        <v>262.86954884688328</v>
      </c>
      <c r="I68" s="202">
        <v>301.81318571308822</v>
      </c>
      <c r="J68" s="202">
        <v>267.7375034551589</v>
      </c>
      <c r="K68" s="202">
        <v>243.39773041378083</v>
      </c>
      <c r="L68" s="202">
        <v>228.79386658895399</v>
      </c>
      <c r="M68" s="202">
        <v>233.66182119722959</v>
      </c>
      <c r="N68" s="202">
        <v>282.34136727998577</v>
      </c>
      <c r="O68" s="203">
        <v>3154.4345861625993</v>
      </c>
    </row>
    <row r="69" spans="1:15" x14ac:dyDescent="0.2">
      <c r="A69" s="204"/>
      <c r="B69" s="205" t="s">
        <v>25</v>
      </c>
      <c r="C69" s="206">
        <v>17.053902569081004</v>
      </c>
      <c r="D69" s="207">
        <v>18.072046006041035</v>
      </c>
      <c r="E69" s="207">
        <v>12.472257102760722</v>
      </c>
      <c r="F69" s="207">
        <v>9.4178267918805716</v>
      </c>
      <c r="G69" s="207">
        <v>12.726792962000758</v>
      </c>
      <c r="H69" s="207">
        <v>13.744936398960789</v>
      </c>
      <c r="I69" s="207">
        <v>15.781223272880879</v>
      </c>
      <c r="J69" s="207">
        <v>13.999472258200797</v>
      </c>
      <c r="K69" s="207">
        <v>12.726792962000758</v>
      </c>
      <c r="L69" s="207">
        <v>11.963185384280706</v>
      </c>
      <c r="M69" s="207">
        <v>12.217721243520714</v>
      </c>
      <c r="N69" s="207">
        <v>14.763079835920848</v>
      </c>
      <c r="O69" s="208">
        <v>164.93923678752958</v>
      </c>
    </row>
    <row r="70" spans="1:15" x14ac:dyDescent="0.2">
      <c r="A70" s="204"/>
      <c r="B70" s="205" t="s">
        <v>26</v>
      </c>
      <c r="C70" s="206">
        <v>1.2210844177545666</v>
      </c>
      <c r="D70" s="207">
        <v>1.2939849800085705</v>
      </c>
      <c r="E70" s="207">
        <v>0.89303188761154861</v>
      </c>
      <c r="F70" s="207">
        <v>0.67433020084953676</v>
      </c>
      <c r="G70" s="207">
        <v>0.91125702817504972</v>
      </c>
      <c r="H70" s="207">
        <v>0.9841575904290536</v>
      </c>
      <c r="I70" s="207">
        <v>1.1299587149370616</v>
      </c>
      <c r="J70" s="207">
        <v>1.0023827309925546</v>
      </c>
      <c r="K70" s="207">
        <v>0.91125702817504972</v>
      </c>
      <c r="L70" s="207">
        <v>0.85658160648454662</v>
      </c>
      <c r="M70" s="207">
        <v>0.87480674704804773</v>
      </c>
      <c r="N70" s="207">
        <v>1.0570581526830576</v>
      </c>
      <c r="O70" s="208">
        <v>11.809891085148642</v>
      </c>
    </row>
    <row r="71" spans="1:15" x14ac:dyDescent="0.2">
      <c r="A71" s="204"/>
      <c r="B71" s="205" t="s">
        <v>27</v>
      </c>
      <c r="C71" s="206">
        <v>18.274986986835572</v>
      </c>
      <c r="D71" s="207">
        <v>19.366030986049605</v>
      </c>
      <c r="E71" s="207">
        <v>13.365288990372271</v>
      </c>
      <c r="F71" s="207">
        <v>10.092156992730109</v>
      </c>
      <c r="G71" s="207">
        <v>13.638049990175807</v>
      </c>
      <c r="H71" s="207">
        <v>14.729093989389842</v>
      </c>
      <c r="I71" s="207">
        <v>16.91118198781794</v>
      </c>
      <c r="J71" s="207">
        <v>15.001854989193351</v>
      </c>
      <c r="K71" s="207">
        <v>13.638049990175807</v>
      </c>
      <c r="L71" s="207">
        <v>12.819766990765253</v>
      </c>
      <c r="M71" s="207">
        <v>13.092527990568762</v>
      </c>
      <c r="N71" s="207">
        <v>15.820137988603905</v>
      </c>
      <c r="O71" s="208">
        <v>176.74912787267823</v>
      </c>
    </row>
    <row r="72" spans="1:15" x14ac:dyDescent="0.2">
      <c r="A72" s="204"/>
      <c r="B72" s="205" t="s">
        <v>48</v>
      </c>
      <c r="C72" s="209">
        <v>309.09905618538534</v>
      </c>
      <c r="D72" s="210">
        <v>327.55273118152775</v>
      </c>
      <c r="E72" s="210">
        <v>226.05751870274449</v>
      </c>
      <c r="F72" s="210">
        <v>170.69649371431726</v>
      </c>
      <c r="G72" s="210">
        <v>230.67093745178008</v>
      </c>
      <c r="H72" s="210">
        <v>249.12461244792249</v>
      </c>
      <c r="I72" s="210">
        <v>286.03196244020734</v>
      </c>
      <c r="J72" s="210">
        <v>253.7380311969581</v>
      </c>
      <c r="K72" s="210">
        <v>230.67093745178008</v>
      </c>
      <c r="L72" s="210">
        <v>216.83068120467328</v>
      </c>
      <c r="M72" s="210">
        <v>221.44409995370887</v>
      </c>
      <c r="N72" s="210">
        <v>267.57828744406493</v>
      </c>
      <c r="O72" s="211">
        <v>2989.49534937507</v>
      </c>
    </row>
    <row r="73" spans="1:15" x14ac:dyDescent="0.2">
      <c r="A73" s="204"/>
      <c r="B73" s="205" t="s">
        <v>86</v>
      </c>
      <c r="C73" s="209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210">
        <v>0</v>
      </c>
      <c r="J73" s="210">
        <v>0</v>
      </c>
      <c r="K73" s="210">
        <v>0</v>
      </c>
      <c r="L73" s="210">
        <v>0</v>
      </c>
      <c r="M73" s="210">
        <v>0</v>
      </c>
      <c r="N73" s="210">
        <v>0</v>
      </c>
      <c r="O73" s="211">
        <v>0</v>
      </c>
    </row>
    <row r="74" spans="1:15" x14ac:dyDescent="0.2">
      <c r="A74" s="204"/>
      <c r="B74" s="205" t="s">
        <v>88</v>
      </c>
      <c r="C74" s="209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210">
        <v>0</v>
      </c>
      <c r="J74" s="210">
        <v>0</v>
      </c>
      <c r="K74" s="210">
        <v>0</v>
      </c>
      <c r="L74" s="210">
        <v>0</v>
      </c>
      <c r="M74" s="210">
        <v>0</v>
      </c>
      <c r="N74" s="210">
        <v>0</v>
      </c>
      <c r="O74" s="211">
        <v>0</v>
      </c>
    </row>
    <row r="75" spans="1:15" x14ac:dyDescent="0.2">
      <c r="A75" s="194" t="s">
        <v>53</v>
      </c>
      <c r="B75" s="194" t="s">
        <v>69</v>
      </c>
      <c r="C75" s="201">
        <v>666.9097813337595</v>
      </c>
      <c r="D75" s="202">
        <v>759.40091889099619</v>
      </c>
      <c r="E75" s="202">
        <v>550.07887073514473</v>
      </c>
      <c r="F75" s="202">
        <v>545.21091612686905</v>
      </c>
      <c r="G75" s="202">
        <v>691.24955437513756</v>
      </c>
      <c r="H75" s="202">
        <v>803.21251036547676</v>
      </c>
      <c r="I75" s="202">
        <v>900.57160253098903</v>
      </c>
      <c r="J75" s="202">
        <v>929.77933018064277</v>
      </c>
      <c r="K75" s="202">
        <v>681.51364515858631</v>
      </c>
      <c r="L75" s="202">
        <v>666.9097813337595</v>
      </c>
      <c r="M75" s="202">
        <v>584.15455299307405</v>
      </c>
      <c r="N75" s="202">
        <v>623.09818985927893</v>
      </c>
      <c r="O75" s="203">
        <v>8402.0896538837133</v>
      </c>
    </row>
    <row r="76" spans="1:15" x14ac:dyDescent="0.2">
      <c r="A76" s="204"/>
      <c r="B76" s="205" t="s">
        <v>25</v>
      </c>
      <c r="C76" s="209">
        <v>34.871412715882002</v>
      </c>
      <c r="D76" s="210">
        <v>39.707594041442348</v>
      </c>
      <c r="E76" s="210">
        <v>28.762552094121702</v>
      </c>
      <c r="F76" s="210">
        <v>28.508016234881666</v>
      </c>
      <c r="G76" s="210">
        <v>36.144092012082069</v>
      </c>
      <c r="H76" s="210">
        <v>41.998416774602447</v>
      </c>
      <c r="I76" s="210">
        <v>47.089133959402716</v>
      </c>
      <c r="J76" s="210">
        <v>48.616349114842819</v>
      </c>
      <c r="K76" s="210">
        <v>35.635020293602111</v>
      </c>
      <c r="L76" s="210">
        <v>34.871412715882002</v>
      </c>
      <c r="M76" s="210">
        <v>30.544303108801842</v>
      </c>
      <c r="N76" s="210">
        <v>32.580589982721904</v>
      </c>
      <c r="O76" s="211">
        <v>439.32889304826563</v>
      </c>
    </row>
    <row r="77" spans="1:15" x14ac:dyDescent="0.2">
      <c r="A77" s="204"/>
      <c r="B77" s="205" t="s">
        <v>26</v>
      </c>
      <c r="C77" s="209">
        <v>2.4968442571996357</v>
      </c>
      <c r="D77" s="210">
        <v>2.843121927906155</v>
      </c>
      <c r="E77" s="210">
        <v>2.0594408836756122</v>
      </c>
      <c r="F77" s="210">
        <v>2.0412157431121112</v>
      </c>
      <c r="G77" s="210">
        <v>2.5879699600171411</v>
      </c>
      <c r="H77" s="210">
        <v>3.007148192977664</v>
      </c>
      <c r="I77" s="210">
        <v>3.3716510042476835</v>
      </c>
      <c r="J77" s="210">
        <v>3.4810018476286899</v>
      </c>
      <c r="K77" s="210">
        <v>2.5515196788901391</v>
      </c>
      <c r="L77" s="210">
        <v>2.4968442571996357</v>
      </c>
      <c r="M77" s="210">
        <v>2.1870168676201192</v>
      </c>
      <c r="N77" s="210">
        <v>2.3328179921281267</v>
      </c>
      <c r="O77" s="211">
        <v>31.456592612602716</v>
      </c>
    </row>
    <row r="78" spans="1:15" x14ac:dyDescent="0.2">
      <c r="A78" s="204"/>
      <c r="B78" s="205" t="s">
        <v>27</v>
      </c>
      <c r="C78" s="209">
        <v>37.368256973081635</v>
      </c>
      <c r="D78" s="210">
        <v>42.550715969348502</v>
      </c>
      <c r="E78" s="210">
        <v>30.821992977797315</v>
      </c>
      <c r="F78" s="210">
        <v>30.549231977993777</v>
      </c>
      <c r="G78" s="210">
        <v>38.73206197209921</v>
      </c>
      <c r="H78" s="210">
        <v>45.005564967580113</v>
      </c>
      <c r="I78" s="210">
        <v>50.460784963650397</v>
      </c>
      <c r="J78" s="210">
        <v>52.097350962471509</v>
      </c>
      <c r="K78" s="210">
        <v>38.186539972492248</v>
      </c>
      <c r="L78" s="210">
        <v>37.368256973081635</v>
      </c>
      <c r="M78" s="210">
        <v>32.731319976421958</v>
      </c>
      <c r="N78" s="210">
        <v>34.913407974850031</v>
      </c>
      <c r="O78" s="211">
        <v>470.7854856608684</v>
      </c>
    </row>
    <row r="79" spans="1:15" x14ac:dyDescent="0.2">
      <c r="A79" s="204"/>
      <c r="B79" s="205" t="s">
        <v>48</v>
      </c>
      <c r="C79" s="209">
        <v>632.0383686178775</v>
      </c>
      <c r="D79" s="210">
        <v>719.69332484955385</v>
      </c>
      <c r="E79" s="210">
        <v>521.31631864102303</v>
      </c>
      <c r="F79" s="210">
        <v>516.70289989198739</v>
      </c>
      <c r="G79" s="210">
        <v>655.10546236305549</v>
      </c>
      <c r="H79" s="210">
        <v>761.21409359087431</v>
      </c>
      <c r="I79" s="210">
        <v>853.48246857158631</v>
      </c>
      <c r="J79" s="210">
        <v>881.16298106579995</v>
      </c>
      <c r="K79" s="210">
        <v>645.8786248649842</v>
      </c>
      <c r="L79" s="210">
        <v>632.0383686178775</v>
      </c>
      <c r="M79" s="210">
        <v>553.61024988427221</v>
      </c>
      <c r="N79" s="210">
        <v>590.51759987655703</v>
      </c>
      <c r="O79" s="211">
        <v>7962.7607608354474</v>
      </c>
    </row>
    <row r="80" spans="1:15" x14ac:dyDescent="0.2">
      <c r="A80" s="204"/>
      <c r="B80" s="205" t="s">
        <v>86</v>
      </c>
      <c r="C80" s="209">
        <v>0</v>
      </c>
      <c r="D80" s="210">
        <v>0</v>
      </c>
      <c r="E80" s="210">
        <v>0</v>
      </c>
      <c r="F80" s="210">
        <v>0</v>
      </c>
      <c r="G80" s="210">
        <v>0</v>
      </c>
      <c r="H80" s="210">
        <v>0</v>
      </c>
      <c r="I80" s="210">
        <v>0</v>
      </c>
      <c r="J80" s="210">
        <v>0</v>
      </c>
      <c r="K80" s="210">
        <v>0</v>
      </c>
      <c r="L80" s="210">
        <v>0</v>
      </c>
      <c r="M80" s="210">
        <v>0</v>
      </c>
      <c r="N80" s="210">
        <v>0</v>
      </c>
      <c r="O80" s="211">
        <v>0</v>
      </c>
    </row>
    <row r="81" spans="1:15" x14ac:dyDescent="0.2">
      <c r="A81" s="204"/>
      <c r="B81" s="205" t="s">
        <v>88</v>
      </c>
      <c r="C81" s="209">
        <v>0</v>
      </c>
      <c r="D81" s="210">
        <v>0</v>
      </c>
      <c r="E81" s="210">
        <v>0</v>
      </c>
      <c r="F81" s="210">
        <v>0</v>
      </c>
      <c r="G81" s="210">
        <v>0</v>
      </c>
      <c r="H81" s="210">
        <v>0</v>
      </c>
      <c r="I81" s="210">
        <v>0</v>
      </c>
      <c r="J81" s="210">
        <v>0</v>
      </c>
      <c r="K81" s="210">
        <v>0</v>
      </c>
      <c r="L81" s="210">
        <v>0</v>
      </c>
      <c r="M81" s="210">
        <v>0</v>
      </c>
      <c r="N81" s="210">
        <v>0</v>
      </c>
      <c r="O81" s="211">
        <v>0</v>
      </c>
    </row>
    <row r="82" spans="1:15" x14ac:dyDescent="0.2">
      <c r="A82" s="194" t="s">
        <v>54</v>
      </c>
      <c r="B82" s="194" t="s">
        <v>69</v>
      </c>
      <c r="C82" s="201">
        <v>53.547500691031786</v>
      </c>
      <c r="D82" s="202">
        <v>43.811591474480551</v>
      </c>
      <c r="E82" s="202">
        <v>38.943636866204933</v>
      </c>
      <c r="F82" s="202">
        <v>48.679546082756168</v>
      </c>
      <c r="G82" s="202">
        <v>53.547500691031786</v>
      </c>
      <c r="H82" s="202">
        <v>53.547500691031786</v>
      </c>
      <c r="I82" s="202">
        <v>68.151364515858631</v>
      </c>
      <c r="J82" s="202">
        <v>53.547500691031786</v>
      </c>
      <c r="K82" s="202">
        <v>58.415455299307396</v>
      </c>
      <c r="L82" s="202">
        <v>63.283409907583014</v>
      </c>
      <c r="M82" s="202">
        <v>48.679546082756168</v>
      </c>
      <c r="N82" s="202">
        <v>34.075682257929316</v>
      </c>
      <c r="O82" s="203">
        <v>618.23023525100336</v>
      </c>
    </row>
    <row r="83" spans="1:15" x14ac:dyDescent="0.2">
      <c r="A83" s="204"/>
      <c r="B83" s="205" t="s">
        <v>25</v>
      </c>
      <c r="C83" s="209">
        <v>2.7998944516401636</v>
      </c>
      <c r="D83" s="210">
        <v>2.2908227331601339</v>
      </c>
      <c r="E83" s="210">
        <v>2.036286873920119</v>
      </c>
      <c r="F83" s="210">
        <v>2.5453585924001487</v>
      </c>
      <c r="G83" s="210">
        <v>2.7998944516401636</v>
      </c>
      <c r="H83" s="210">
        <v>2.7998944516401636</v>
      </c>
      <c r="I83" s="210">
        <v>3.5635020293602082</v>
      </c>
      <c r="J83" s="210">
        <v>2.7998944516401636</v>
      </c>
      <c r="K83" s="210">
        <v>3.0544303108801785</v>
      </c>
      <c r="L83" s="210">
        <v>3.3089661701201933</v>
      </c>
      <c r="M83" s="210">
        <v>2.5453585924001487</v>
      </c>
      <c r="N83" s="210">
        <v>1.7817510146801041</v>
      </c>
      <c r="O83" s="211">
        <v>32.326054123481889</v>
      </c>
    </row>
    <row r="84" spans="1:15" x14ac:dyDescent="0.2">
      <c r="A84" s="204"/>
      <c r="B84" s="205" t="s">
        <v>26</v>
      </c>
      <c r="C84" s="209">
        <v>0.20047654619851094</v>
      </c>
      <c r="D84" s="210">
        <v>0.16402626507150891</v>
      </c>
      <c r="E84" s="210">
        <v>0.14580112450800792</v>
      </c>
      <c r="F84" s="210">
        <v>0.18225140563500991</v>
      </c>
      <c r="G84" s="210">
        <v>0.20047654619851094</v>
      </c>
      <c r="H84" s="210">
        <v>0.20047654619851094</v>
      </c>
      <c r="I84" s="210">
        <v>0.2551519678890139</v>
      </c>
      <c r="J84" s="210">
        <v>0.20047654619851094</v>
      </c>
      <c r="K84" s="210">
        <v>0.21870168676201193</v>
      </c>
      <c r="L84" s="210">
        <v>0.2369268273255129</v>
      </c>
      <c r="M84" s="210">
        <v>0.18225140563500991</v>
      </c>
      <c r="N84" s="210">
        <v>0.12757598394450695</v>
      </c>
      <c r="O84" s="211">
        <v>2.3145928515646261</v>
      </c>
    </row>
    <row r="85" spans="1:15" x14ac:dyDescent="0.2">
      <c r="A85" s="204"/>
      <c r="B85" s="205" t="s">
        <v>27</v>
      </c>
      <c r="C85" s="209">
        <v>3.0003709978386746</v>
      </c>
      <c r="D85" s="210">
        <v>2.4548489982316428</v>
      </c>
      <c r="E85" s="210">
        <v>2.182087998428127</v>
      </c>
      <c r="F85" s="210">
        <v>2.7276099980351587</v>
      </c>
      <c r="G85" s="210">
        <v>3.0003709978386746</v>
      </c>
      <c r="H85" s="210">
        <v>3.0003709978386746</v>
      </c>
      <c r="I85" s="210">
        <v>3.8186539972492222</v>
      </c>
      <c r="J85" s="210">
        <v>3.0003709978386746</v>
      </c>
      <c r="K85" s="210">
        <v>3.2731319976421904</v>
      </c>
      <c r="L85" s="210">
        <v>3.5458929974457063</v>
      </c>
      <c r="M85" s="210">
        <v>2.7276099980351587</v>
      </c>
      <c r="N85" s="210">
        <v>1.9093269986246111</v>
      </c>
      <c r="O85" s="211">
        <v>34.640646975046515</v>
      </c>
    </row>
    <row r="86" spans="1:15" x14ac:dyDescent="0.2">
      <c r="A86" s="204"/>
      <c r="B86" s="205" t="s">
        <v>48</v>
      </c>
      <c r="C86" s="209">
        <v>50.747606239391622</v>
      </c>
      <c r="D86" s="210">
        <v>41.520768741320417</v>
      </c>
      <c r="E86" s="210">
        <v>36.907349992284814</v>
      </c>
      <c r="F86" s="210">
        <v>46.13418749035602</v>
      </c>
      <c r="G86" s="210">
        <v>50.747606239391622</v>
      </c>
      <c r="H86" s="210">
        <v>50.747606239391622</v>
      </c>
      <c r="I86" s="210">
        <v>64.587862486498423</v>
      </c>
      <c r="J86" s="210">
        <v>50.747606239391622</v>
      </c>
      <c r="K86" s="210">
        <v>55.361024988427218</v>
      </c>
      <c r="L86" s="210">
        <v>59.974443737462821</v>
      </c>
      <c r="M86" s="210">
        <v>46.13418749035602</v>
      </c>
      <c r="N86" s="210">
        <v>32.293931243249212</v>
      </c>
      <c r="O86" s="211">
        <v>585.90418112752138</v>
      </c>
    </row>
    <row r="87" spans="1:15" x14ac:dyDescent="0.2">
      <c r="A87" s="204"/>
      <c r="B87" s="205" t="s">
        <v>86</v>
      </c>
      <c r="C87" s="209">
        <v>0</v>
      </c>
      <c r="D87" s="210">
        <v>0</v>
      </c>
      <c r="E87" s="210">
        <v>0</v>
      </c>
      <c r="F87" s="210">
        <v>0</v>
      </c>
      <c r="G87" s="210">
        <v>0</v>
      </c>
      <c r="H87" s="210">
        <v>0</v>
      </c>
      <c r="I87" s="210">
        <v>0</v>
      </c>
      <c r="J87" s="210">
        <v>0</v>
      </c>
      <c r="K87" s="210">
        <v>0</v>
      </c>
      <c r="L87" s="210">
        <v>0</v>
      </c>
      <c r="M87" s="210">
        <v>0</v>
      </c>
      <c r="N87" s="210">
        <v>0</v>
      </c>
      <c r="O87" s="211">
        <v>0</v>
      </c>
    </row>
    <row r="88" spans="1:15" x14ac:dyDescent="0.2">
      <c r="A88" s="204"/>
      <c r="B88" s="205" t="s">
        <v>88</v>
      </c>
      <c r="C88" s="209">
        <v>0</v>
      </c>
      <c r="D88" s="210">
        <v>0</v>
      </c>
      <c r="E88" s="210">
        <v>0</v>
      </c>
      <c r="F88" s="210">
        <v>0</v>
      </c>
      <c r="G88" s="210">
        <v>0</v>
      </c>
      <c r="H88" s="210">
        <v>0</v>
      </c>
      <c r="I88" s="210">
        <v>0</v>
      </c>
      <c r="J88" s="210">
        <v>0</v>
      </c>
      <c r="K88" s="210">
        <v>0</v>
      </c>
      <c r="L88" s="210">
        <v>0</v>
      </c>
      <c r="M88" s="210">
        <v>0</v>
      </c>
      <c r="N88" s="210">
        <v>0</v>
      </c>
      <c r="O88" s="211">
        <v>0</v>
      </c>
    </row>
    <row r="89" spans="1:15" x14ac:dyDescent="0.2">
      <c r="A89" s="194" t="s">
        <v>55</v>
      </c>
      <c r="B89" s="194" t="s">
        <v>69</v>
      </c>
      <c r="C89" s="201">
        <v>0</v>
      </c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202">
        <v>0</v>
      </c>
      <c r="J89" s="202">
        <v>0</v>
      </c>
      <c r="K89" s="202">
        <v>0</v>
      </c>
      <c r="L89" s="202">
        <v>0</v>
      </c>
      <c r="M89" s="202">
        <v>0</v>
      </c>
      <c r="N89" s="202">
        <v>0</v>
      </c>
      <c r="O89" s="203">
        <v>0</v>
      </c>
    </row>
    <row r="90" spans="1:15" x14ac:dyDescent="0.2">
      <c r="A90" s="204"/>
      <c r="B90" s="205" t="s">
        <v>25</v>
      </c>
      <c r="C90" s="209">
        <v>0</v>
      </c>
      <c r="D90" s="210">
        <v>0</v>
      </c>
      <c r="E90" s="210">
        <v>0</v>
      </c>
      <c r="F90" s="210">
        <v>0</v>
      </c>
      <c r="G90" s="210">
        <v>0</v>
      </c>
      <c r="H90" s="210">
        <v>0</v>
      </c>
      <c r="I90" s="210">
        <v>0</v>
      </c>
      <c r="J90" s="210">
        <v>0</v>
      </c>
      <c r="K90" s="210">
        <v>0</v>
      </c>
      <c r="L90" s="210">
        <v>0</v>
      </c>
      <c r="M90" s="210">
        <v>0</v>
      </c>
      <c r="N90" s="210">
        <v>0</v>
      </c>
      <c r="O90" s="211">
        <v>0</v>
      </c>
    </row>
    <row r="91" spans="1:15" x14ac:dyDescent="0.2">
      <c r="A91" s="204"/>
      <c r="B91" s="205" t="s">
        <v>26</v>
      </c>
      <c r="C91" s="209">
        <v>0</v>
      </c>
      <c r="D91" s="210">
        <v>0</v>
      </c>
      <c r="E91" s="210">
        <v>0</v>
      </c>
      <c r="F91" s="210">
        <v>0</v>
      </c>
      <c r="G91" s="210">
        <v>0</v>
      </c>
      <c r="H91" s="210">
        <v>0</v>
      </c>
      <c r="I91" s="210">
        <v>0</v>
      </c>
      <c r="J91" s="210">
        <v>0</v>
      </c>
      <c r="K91" s="210">
        <v>0</v>
      </c>
      <c r="L91" s="210">
        <v>0</v>
      </c>
      <c r="M91" s="210">
        <v>0</v>
      </c>
      <c r="N91" s="210">
        <v>0</v>
      </c>
      <c r="O91" s="211">
        <v>0</v>
      </c>
    </row>
    <row r="92" spans="1:15" x14ac:dyDescent="0.2">
      <c r="A92" s="204"/>
      <c r="B92" s="205" t="s">
        <v>27</v>
      </c>
      <c r="C92" s="209">
        <v>0</v>
      </c>
      <c r="D92" s="210">
        <v>0</v>
      </c>
      <c r="E92" s="210">
        <v>0</v>
      </c>
      <c r="F92" s="210">
        <v>0</v>
      </c>
      <c r="G92" s="210">
        <v>0</v>
      </c>
      <c r="H92" s="210">
        <v>0</v>
      </c>
      <c r="I92" s="210">
        <v>0</v>
      </c>
      <c r="J92" s="210">
        <v>0</v>
      </c>
      <c r="K92" s="210">
        <v>0</v>
      </c>
      <c r="L92" s="210">
        <v>0</v>
      </c>
      <c r="M92" s="210">
        <v>0</v>
      </c>
      <c r="N92" s="210">
        <v>0</v>
      </c>
      <c r="O92" s="211">
        <v>0</v>
      </c>
    </row>
    <row r="93" spans="1:15" x14ac:dyDescent="0.2">
      <c r="A93" s="204"/>
      <c r="B93" s="205" t="s">
        <v>48</v>
      </c>
      <c r="C93" s="209">
        <v>0</v>
      </c>
      <c r="D93" s="210">
        <v>0</v>
      </c>
      <c r="E93" s="210">
        <v>0</v>
      </c>
      <c r="F93" s="210">
        <v>0</v>
      </c>
      <c r="G93" s="210">
        <v>0</v>
      </c>
      <c r="H93" s="210">
        <v>0</v>
      </c>
      <c r="I93" s="210">
        <v>0</v>
      </c>
      <c r="J93" s="210">
        <v>0</v>
      </c>
      <c r="K93" s="210">
        <v>0</v>
      </c>
      <c r="L93" s="210">
        <v>0</v>
      </c>
      <c r="M93" s="210">
        <v>0</v>
      </c>
      <c r="N93" s="210">
        <v>0</v>
      </c>
      <c r="O93" s="211">
        <v>0</v>
      </c>
    </row>
    <row r="94" spans="1:15" x14ac:dyDescent="0.2">
      <c r="A94" s="204"/>
      <c r="B94" s="205" t="s">
        <v>86</v>
      </c>
      <c r="C94" s="209">
        <v>0</v>
      </c>
      <c r="D94" s="210">
        <v>0</v>
      </c>
      <c r="E94" s="210">
        <v>0</v>
      </c>
      <c r="F94" s="210">
        <v>0</v>
      </c>
      <c r="G94" s="210">
        <v>0</v>
      </c>
      <c r="H94" s="210">
        <v>0</v>
      </c>
      <c r="I94" s="210">
        <v>0</v>
      </c>
      <c r="J94" s="210">
        <v>0</v>
      </c>
      <c r="K94" s="210">
        <v>0</v>
      </c>
      <c r="L94" s="210">
        <v>0</v>
      </c>
      <c r="M94" s="210">
        <v>0</v>
      </c>
      <c r="N94" s="210">
        <v>0</v>
      </c>
      <c r="O94" s="211">
        <v>0</v>
      </c>
    </row>
    <row r="95" spans="1:15" x14ac:dyDescent="0.2">
      <c r="A95" s="204"/>
      <c r="B95" s="205" t="s">
        <v>88</v>
      </c>
      <c r="C95" s="209">
        <v>0</v>
      </c>
      <c r="D95" s="210">
        <v>0</v>
      </c>
      <c r="E95" s="210">
        <v>0</v>
      </c>
      <c r="F95" s="210">
        <v>0</v>
      </c>
      <c r="G95" s="210">
        <v>0</v>
      </c>
      <c r="H95" s="210">
        <v>0</v>
      </c>
      <c r="I95" s="210">
        <v>0</v>
      </c>
      <c r="J95" s="210">
        <v>0</v>
      </c>
      <c r="K95" s="210">
        <v>0</v>
      </c>
      <c r="L95" s="210">
        <v>0</v>
      </c>
      <c r="M95" s="210">
        <v>0</v>
      </c>
      <c r="N95" s="210">
        <v>0</v>
      </c>
      <c r="O95" s="211">
        <v>0</v>
      </c>
    </row>
    <row r="96" spans="1:15" x14ac:dyDescent="0.2">
      <c r="A96" s="194" t="s">
        <v>56</v>
      </c>
      <c r="B96" s="194" t="s">
        <v>69</v>
      </c>
      <c r="C96" s="201">
        <v>180.11432050619783</v>
      </c>
      <c r="D96" s="202">
        <v>204.45409354757589</v>
      </c>
      <c r="E96" s="202">
        <v>146.03863824826851</v>
      </c>
      <c r="F96" s="202">
        <v>155.77454746481973</v>
      </c>
      <c r="G96" s="202">
        <v>189.85022972274905</v>
      </c>
      <c r="H96" s="202">
        <v>228.79386658895399</v>
      </c>
      <c r="I96" s="202">
        <v>258.00159423860771</v>
      </c>
      <c r="J96" s="202">
        <v>253.13363963033206</v>
      </c>
      <c r="K96" s="202">
        <v>219.05795737240274</v>
      </c>
      <c r="L96" s="202">
        <v>199.58613893930027</v>
      </c>
      <c r="M96" s="202">
        <v>141.17068363999289</v>
      </c>
      <c r="N96" s="202">
        <v>175.2463658979222</v>
      </c>
      <c r="O96" s="203">
        <v>2351.2220757971231</v>
      </c>
    </row>
    <row r="97" spans="1:15" x14ac:dyDescent="0.2">
      <c r="A97" s="204"/>
      <c r="B97" s="205" t="s">
        <v>25</v>
      </c>
      <c r="C97" s="209">
        <v>9.4178267918805716</v>
      </c>
      <c r="D97" s="210">
        <v>10.69050608808061</v>
      </c>
      <c r="E97" s="210">
        <v>7.6360757772004604</v>
      </c>
      <c r="F97" s="210">
        <v>8.1451474956804759</v>
      </c>
      <c r="G97" s="210">
        <v>9.9268985103605871</v>
      </c>
      <c r="H97" s="210">
        <v>11.963185384280706</v>
      </c>
      <c r="I97" s="210">
        <v>13.49040053972081</v>
      </c>
      <c r="J97" s="210">
        <v>13.235864680480773</v>
      </c>
      <c r="K97" s="210">
        <v>11.454113665800662</v>
      </c>
      <c r="L97" s="210">
        <v>10.435970228840603</v>
      </c>
      <c r="M97" s="210">
        <v>7.3815399179604242</v>
      </c>
      <c r="N97" s="210">
        <v>9.1632909326405354</v>
      </c>
      <c r="O97" s="211">
        <v>122.94082001292722</v>
      </c>
    </row>
    <row r="98" spans="1:15" x14ac:dyDescent="0.2">
      <c r="A98" s="204"/>
      <c r="B98" s="205" t="s">
        <v>26</v>
      </c>
      <c r="C98" s="209">
        <v>0.67433020084953676</v>
      </c>
      <c r="D98" s="210">
        <v>0.76545590366704164</v>
      </c>
      <c r="E98" s="210">
        <v>0.54675421690502979</v>
      </c>
      <c r="F98" s="210">
        <v>0.58320449803203167</v>
      </c>
      <c r="G98" s="210">
        <v>0.71078048197653876</v>
      </c>
      <c r="H98" s="210">
        <v>0.85658160648454662</v>
      </c>
      <c r="I98" s="210">
        <v>0.9659324498655526</v>
      </c>
      <c r="J98" s="210">
        <v>0.9477073093020516</v>
      </c>
      <c r="K98" s="210">
        <v>0.82013132535754463</v>
      </c>
      <c r="L98" s="210">
        <v>0.74723076310354075</v>
      </c>
      <c r="M98" s="210">
        <v>0.52852907634152879</v>
      </c>
      <c r="N98" s="210">
        <v>0.65610506028603566</v>
      </c>
      <c r="O98" s="211">
        <v>8.8027428921709792</v>
      </c>
    </row>
    <row r="99" spans="1:15" x14ac:dyDescent="0.2">
      <c r="A99" s="204"/>
      <c r="B99" s="205" t="s">
        <v>27</v>
      </c>
      <c r="C99" s="209">
        <v>10.092156992730109</v>
      </c>
      <c r="D99" s="210">
        <v>11.455961991747651</v>
      </c>
      <c r="E99" s="210">
        <v>8.1828299941054894</v>
      </c>
      <c r="F99" s="210">
        <v>8.7283519937125078</v>
      </c>
      <c r="G99" s="210">
        <v>10.637678992337126</v>
      </c>
      <c r="H99" s="210">
        <v>12.819766990765253</v>
      </c>
      <c r="I99" s="210">
        <v>14.456332989586363</v>
      </c>
      <c r="J99" s="210">
        <v>14.183571989782825</v>
      </c>
      <c r="K99" s="210">
        <v>12.274244991158207</v>
      </c>
      <c r="L99" s="210">
        <v>11.183200991944144</v>
      </c>
      <c r="M99" s="210">
        <v>7.9100689943019526</v>
      </c>
      <c r="N99" s="210">
        <v>9.8193959929265713</v>
      </c>
      <c r="O99" s="211">
        <v>131.7435629050982</v>
      </c>
    </row>
    <row r="100" spans="1:15" x14ac:dyDescent="0.2">
      <c r="A100" s="204"/>
      <c r="B100" s="205" t="s">
        <v>48</v>
      </c>
      <c r="C100" s="209">
        <v>170.69649371431726</v>
      </c>
      <c r="D100" s="210">
        <v>193.76358745949528</v>
      </c>
      <c r="E100" s="210">
        <v>138.40256247106805</v>
      </c>
      <c r="F100" s="210">
        <v>147.62939996913926</v>
      </c>
      <c r="G100" s="210">
        <v>179.92333121238846</v>
      </c>
      <c r="H100" s="210">
        <v>216.83068120467328</v>
      </c>
      <c r="I100" s="210">
        <v>244.5111936988869</v>
      </c>
      <c r="J100" s="210">
        <v>239.89777494985128</v>
      </c>
      <c r="K100" s="210">
        <v>207.60384370660208</v>
      </c>
      <c r="L100" s="210">
        <v>189.15016871045967</v>
      </c>
      <c r="M100" s="210">
        <v>133.78914372203246</v>
      </c>
      <c r="N100" s="210">
        <v>166.08307496528167</v>
      </c>
      <c r="O100" s="211">
        <v>2228.2812557841958</v>
      </c>
    </row>
    <row r="101" spans="1:15" x14ac:dyDescent="0.2">
      <c r="A101" s="204"/>
      <c r="B101" s="205" t="s">
        <v>86</v>
      </c>
      <c r="C101" s="209">
        <v>0</v>
      </c>
      <c r="D101" s="210">
        <v>0</v>
      </c>
      <c r="E101" s="210">
        <v>0</v>
      </c>
      <c r="F101" s="210">
        <v>0</v>
      </c>
      <c r="G101" s="210">
        <v>0</v>
      </c>
      <c r="H101" s="210">
        <v>0</v>
      </c>
      <c r="I101" s="210">
        <v>0</v>
      </c>
      <c r="J101" s="210">
        <v>0</v>
      </c>
      <c r="K101" s="210">
        <v>0</v>
      </c>
      <c r="L101" s="210">
        <v>0</v>
      </c>
      <c r="M101" s="210">
        <v>0</v>
      </c>
      <c r="N101" s="210">
        <v>0</v>
      </c>
      <c r="O101" s="211">
        <v>0</v>
      </c>
    </row>
    <row r="102" spans="1:15" x14ac:dyDescent="0.2">
      <c r="A102" s="204"/>
      <c r="B102" s="205" t="s">
        <v>88</v>
      </c>
      <c r="C102" s="209">
        <v>0</v>
      </c>
      <c r="D102" s="210">
        <v>0</v>
      </c>
      <c r="E102" s="210">
        <v>0</v>
      </c>
      <c r="F102" s="210">
        <v>0</v>
      </c>
      <c r="G102" s="210">
        <v>0</v>
      </c>
      <c r="H102" s="210">
        <v>0</v>
      </c>
      <c r="I102" s="210">
        <v>0</v>
      </c>
      <c r="J102" s="210">
        <v>0</v>
      </c>
      <c r="K102" s="210">
        <v>0</v>
      </c>
      <c r="L102" s="210">
        <v>0</v>
      </c>
      <c r="M102" s="210">
        <v>0</v>
      </c>
      <c r="N102" s="210">
        <v>0</v>
      </c>
      <c r="O102" s="211">
        <v>0</v>
      </c>
    </row>
    <row r="103" spans="1:15" x14ac:dyDescent="0.2">
      <c r="A103" s="194" t="s">
        <v>80</v>
      </c>
      <c r="B103" s="194" t="s">
        <v>69</v>
      </c>
      <c r="C103" s="201">
        <v>1027.138422346155</v>
      </c>
      <c r="D103" s="202">
        <v>973.59092165512334</v>
      </c>
      <c r="E103" s="202">
        <v>593.89046220962518</v>
      </c>
      <c r="F103" s="202">
        <v>530.60705230204223</v>
      </c>
      <c r="G103" s="202">
        <v>496.53137004411292</v>
      </c>
      <c r="H103" s="202">
        <v>637.70205368410575</v>
      </c>
      <c r="I103" s="202">
        <v>710.72137280824006</v>
      </c>
      <c r="J103" s="202">
        <v>725.32523663306688</v>
      </c>
      <c r="K103" s="202">
        <v>593.89046220962518</v>
      </c>
      <c r="L103" s="202">
        <v>569.55068916824712</v>
      </c>
      <c r="M103" s="202">
        <v>574.4186437765228</v>
      </c>
      <c r="N103" s="202">
        <v>866.49592027305971</v>
      </c>
      <c r="O103" s="203">
        <v>8299.8626071099261</v>
      </c>
    </row>
    <row r="104" spans="1:15" x14ac:dyDescent="0.2">
      <c r="A104" s="204"/>
      <c r="B104" s="205" t="s">
        <v>25</v>
      </c>
      <c r="C104" s="209">
        <v>53.707066299643088</v>
      </c>
      <c r="D104" s="210">
        <v>50.907171848003031</v>
      </c>
      <c r="E104" s="210">
        <v>31.0533748272818</v>
      </c>
      <c r="F104" s="210">
        <v>27.744408657161614</v>
      </c>
      <c r="G104" s="210">
        <v>25.962657642481531</v>
      </c>
      <c r="H104" s="210">
        <v>33.344197560441899</v>
      </c>
      <c r="I104" s="210">
        <v>37.162235449042214</v>
      </c>
      <c r="J104" s="210">
        <v>37.925843026762209</v>
      </c>
      <c r="K104" s="210">
        <v>31.0533748272818</v>
      </c>
      <c r="L104" s="210">
        <v>29.780695531081733</v>
      </c>
      <c r="M104" s="210">
        <v>30.035231390321769</v>
      </c>
      <c r="N104" s="210">
        <v>45.307382944722576</v>
      </c>
      <c r="O104" s="211">
        <v>433.98364000422526</v>
      </c>
    </row>
    <row r="105" spans="1:15" x14ac:dyDescent="0.2">
      <c r="A105" s="204"/>
      <c r="B105" s="205" t="s">
        <v>26</v>
      </c>
      <c r="C105" s="209">
        <v>3.8455046588987098</v>
      </c>
      <c r="D105" s="210">
        <v>3.6450281127001989</v>
      </c>
      <c r="E105" s="210">
        <v>2.2234671487471211</v>
      </c>
      <c r="F105" s="210">
        <v>1.9865403214216084</v>
      </c>
      <c r="G105" s="210">
        <v>1.8589643374771012</v>
      </c>
      <c r="H105" s="210">
        <v>2.3874934138186301</v>
      </c>
      <c r="I105" s="210">
        <v>2.6608705222711446</v>
      </c>
      <c r="J105" s="210">
        <v>2.7155459439616481</v>
      </c>
      <c r="K105" s="210">
        <v>2.2234671487471211</v>
      </c>
      <c r="L105" s="210">
        <v>2.1323414459296162</v>
      </c>
      <c r="M105" s="210">
        <v>2.1505665864931172</v>
      </c>
      <c r="N105" s="210">
        <v>3.2440750203031765</v>
      </c>
      <c r="O105" s="211">
        <v>31.073864660769196</v>
      </c>
    </row>
    <row r="106" spans="1:15" x14ac:dyDescent="0.2">
      <c r="A106" s="204"/>
      <c r="B106" s="205" t="s">
        <v>27</v>
      </c>
      <c r="C106" s="209">
        <v>57.5525709585418</v>
      </c>
      <c r="D106" s="210">
        <v>54.552199960703227</v>
      </c>
      <c r="E106" s="210">
        <v>33.276841976028919</v>
      </c>
      <c r="F106" s="210">
        <v>29.730948978583221</v>
      </c>
      <c r="G106" s="210">
        <v>27.821621979958632</v>
      </c>
      <c r="H106" s="210">
        <v>35.73169097426053</v>
      </c>
      <c r="I106" s="210">
        <v>39.82310597131336</v>
      </c>
      <c r="J106" s="210">
        <v>40.64138897072386</v>
      </c>
      <c r="K106" s="210">
        <v>33.276841976028919</v>
      </c>
      <c r="L106" s="210">
        <v>31.913036977011348</v>
      </c>
      <c r="M106" s="210">
        <v>32.185797976814889</v>
      </c>
      <c r="N106" s="210">
        <v>48.551457965025755</v>
      </c>
      <c r="O106" s="211">
        <v>465.0575046649945</v>
      </c>
    </row>
    <row r="107" spans="1:15" x14ac:dyDescent="0.2">
      <c r="A107" s="204"/>
      <c r="B107" s="205" t="s">
        <v>48</v>
      </c>
      <c r="C107" s="209">
        <v>973.43135604651195</v>
      </c>
      <c r="D107" s="210">
        <v>922.68374980712031</v>
      </c>
      <c r="E107" s="210">
        <v>562.83708738234338</v>
      </c>
      <c r="F107" s="210">
        <v>502.86264364488062</v>
      </c>
      <c r="G107" s="210">
        <v>470.56871240163139</v>
      </c>
      <c r="H107" s="210">
        <v>604.35785612366385</v>
      </c>
      <c r="I107" s="210">
        <v>673.55913735919785</v>
      </c>
      <c r="J107" s="210">
        <v>687.39939360630467</v>
      </c>
      <c r="K107" s="210">
        <v>562.83708738234338</v>
      </c>
      <c r="L107" s="210">
        <v>539.76999363716538</v>
      </c>
      <c r="M107" s="210">
        <v>544.38341238620103</v>
      </c>
      <c r="N107" s="210">
        <v>821.18853732833713</v>
      </c>
      <c r="O107" s="211">
        <v>7865.8789671057002</v>
      </c>
    </row>
    <row r="108" spans="1:15" x14ac:dyDescent="0.2">
      <c r="A108" s="204"/>
      <c r="B108" s="205" t="s">
        <v>86</v>
      </c>
      <c r="C108" s="209">
        <v>0</v>
      </c>
      <c r="D108" s="210">
        <v>0</v>
      </c>
      <c r="E108" s="210">
        <v>0</v>
      </c>
      <c r="F108" s="210">
        <v>0</v>
      </c>
      <c r="G108" s="210">
        <v>0</v>
      </c>
      <c r="H108" s="210">
        <v>0</v>
      </c>
      <c r="I108" s="210">
        <v>0</v>
      </c>
      <c r="J108" s="210">
        <v>0</v>
      </c>
      <c r="K108" s="210">
        <v>0</v>
      </c>
      <c r="L108" s="210">
        <v>0</v>
      </c>
      <c r="M108" s="210">
        <v>0</v>
      </c>
      <c r="N108" s="210">
        <v>0</v>
      </c>
      <c r="O108" s="211">
        <v>0</v>
      </c>
    </row>
    <row r="109" spans="1:15" x14ac:dyDescent="0.2">
      <c r="A109" s="204"/>
      <c r="B109" s="205" t="s">
        <v>88</v>
      </c>
      <c r="C109" s="209">
        <v>0</v>
      </c>
      <c r="D109" s="210">
        <v>0</v>
      </c>
      <c r="E109" s="210">
        <v>0</v>
      </c>
      <c r="F109" s="210">
        <v>0</v>
      </c>
      <c r="G109" s="210">
        <v>0</v>
      </c>
      <c r="H109" s="210">
        <v>0</v>
      </c>
      <c r="I109" s="210">
        <v>0</v>
      </c>
      <c r="J109" s="210">
        <v>0</v>
      </c>
      <c r="K109" s="210">
        <v>0</v>
      </c>
      <c r="L109" s="210">
        <v>0</v>
      </c>
      <c r="M109" s="210">
        <v>0</v>
      </c>
      <c r="N109" s="210">
        <v>0</v>
      </c>
      <c r="O109" s="211">
        <v>0</v>
      </c>
    </row>
    <row r="110" spans="1:15" x14ac:dyDescent="0.2">
      <c r="A110" s="194" t="s">
        <v>82</v>
      </c>
      <c r="B110" s="194" t="s">
        <v>69</v>
      </c>
      <c r="C110" s="201">
        <v>228.79386658895399</v>
      </c>
      <c r="D110" s="202">
        <v>277.47341267171015</v>
      </c>
      <c r="E110" s="202">
        <v>165.51045668137095</v>
      </c>
      <c r="F110" s="202">
        <v>131.43477442344164</v>
      </c>
      <c r="G110" s="202">
        <v>194.71818433102467</v>
      </c>
      <c r="H110" s="202">
        <v>223.92591198067836</v>
      </c>
      <c r="I110" s="202">
        <v>267.7375034551589</v>
      </c>
      <c r="J110" s="202">
        <v>267.7375034551589</v>
      </c>
      <c r="K110" s="202">
        <v>214.19000276412714</v>
      </c>
      <c r="L110" s="202">
        <v>165.51045668137095</v>
      </c>
      <c r="M110" s="202">
        <v>170.37841128964658</v>
      </c>
      <c r="N110" s="202">
        <v>189.85022972274905</v>
      </c>
      <c r="O110" s="203">
        <v>2497.2607140453915</v>
      </c>
    </row>
    <row r="111" spans="1:15" x14ac:dyDescent="0.2">
      <c r="A111" s="204"/>
      <c r="B111" s="205" t="s">
        <v>25</v>
      </c>
      <c r="C111" s="209">
        <v>11.963185384280706</v>
      </c>
      <c r="D111" s="210">
        <v>14.508543976680869</v>
      </c>
      <c r="E111" s="210">
        <v>8.6542192141604914</v>
      </c>
      <c r="F111" s="210">
        <v>6.8724681994803944</v>
      </c>
      <c r="G111" s="210">
        <v>10.181434369600595</v>
      </c>
      <c r="H111" s="210">
        <v>11.70864952504067</v>
      </c>
      <c r="I111" s="210">
        <v>13.999472258200797</v>
      </c>
      <c r="J111" s="210">
        <v>13.999472258200797</v>
      </c>
      <c r="K111" s="210">
        <v>11.199577806560654</v>
      </c>
      <c r="L111" s="210">
        <v>8.6542192141604914</v>
      </c>
      <c r="M111" s="210">
        <v>8.9087550734005276</v>
      </c>
      <c r="N111" s="210">
        <v>9.9268985103605871</v>
      </c>
      <c r="O111" s="211">
        <v>130.57689579012759</v>
      </c>
    </row>
    <row r="112" spans="1:15" x14ac:dyDescent="0.2">
      <c r="A112" s="204"/>
      <c r="B112" s="205" t="s">
        <v>26</v>
      </c>
      <c r="C112" s="209">
        <v>0.85658160648454662</v>
      </c>
      <c r="D112" s="210">
        <v>1.0388330121195566</v>
      </c>
      <c r="E112" s="210">
        <v>0.61965477915903366</v>
      </c>
      <c r="F112" s="210">
        <v>0.4920787952145268</v>
      </c>
      <c r="G112" s="210">
        <v>0.72900562254003964</v>
      </c>
      <c r="H112" s="210">
        <v>0.83835646592104573</v>
      </c>
      <c r="I112" s="210">
        <v>1.0023827309925546</v>
      </c>
      <c r="J112" s="210">
        <v>1.0023827309925546</v>
      </c>
      <c r="K112" s="210">
        <v>0.80190618479404374</v>
      </c>
      <c r="L112" s="210">
        <v>0.61965477915903366</v>
      </c>
      <c r="M112" s="210">
        <v>0.63787991972253477</v>
      </c>
      <c r="N112" s="210">
        <v>0.71078048197653876</v>
      </c>
      <c r="O112" s="211">
        <v>9.3494971090760082</v>
      </c>
    </row>
    <row r="113" spans="1:15" x14ac:dyDescent="0.2">
      <c r="A113" s="204"/>
      <c r="B113" s="205" t="s">
        <v>27</v>
      </c>
      <c r="C113" s="209">
        <v>12.819766990765253</v>
      </c>
      <c r="D113" s="210">
        <v>15.547376988800426</v>
      </c>
      <c r="E113" s="210">
        <v>9.2738739933195244</v>
      </c>
      <c r="F113" s="210">
        <v>7.3645469946949209</v>
      </c>
      <c r="G113" s="210">
        <v>10.910439992140635</v>
      </c>
      <c r="H113" s="210">
        <v>12.547005990961715</v>
      </c>
      <c r="I113" s="210">
        <v>15.001854989193351</v>
      </c>
      <c r="J113" s="210">
        <v>15.001854989193351</v>
      </c>
      <c r="K113" s="210">
        <v>12.001483991354698</v>
      </c>
      <c r="L113" s="210">
        <v>9.2738739933195244</v>
      </c>
      <c r="M113" s="210">
        <v>9.5466349931230621</v>
      </c>
      <c r="N113" s="210">
        <v>10.637678992337126</v>
      </c>
      <c r="O113" s="211">
        <v>139.92639289920359</v>
      </c>
    </row>
    <row r="114" spans="1:15" x14ac:dyDescent="0.2">
      <c r="A114" s="204"/>
      <c r="B114" s="205" t="s">
        <v>48</v>
      </c>
      <c r="C114" s="209">
        <v>216.83068120467328</v>
      </c>
      <c r="D114" s="210">
        <v>262.96486869502928</v>
      </c>
      <c r="E114" s="210">
        <v>156.85623746721046</v>
      </c>
      <c r="F114" s="210">
        <v>124.56230622396124</v>
      </c>
      <c r="G114" s="210">
        <v>184.53674996142408</v>
      </c>
      <c r="H114" s="210">
        <v>212.21726245563769</v>
      </c>
      <c r="I114" s="210">
        <v>253.7380311969581</v>
      </c>
      <c r="J114" s="210">
        <v>253.7380311969581</v>
      </c>
      <c r="K114" s="210">
        <v>202.99042495756649</v>
      </c>
      <c r="L114" s="210">
        <v>156.85623746721046</v>
      </c>
      <c r="M114" s="210">
        <v>161.46965621624605</v>
      </c>
      <c r="N114" s="210">
        <v>179.92333121238846</v>
      </c>
      <c r="O114" s="211">
        <v>2366.6838182552642</v>
      </c>
    </row>
    <row r="115" spans="1:15" x14ac:dyDescent="0.2">
      <c r="A115" s="204"/>
      <c r="B115" s="205" t="s">
        <v>86</v>
      </c>
      <c r="C115" s="209">
        <v>0</v>
      </c>
      <c r="D115" s="210">
        <v>0</v>
      </c>
      <c r="E115" s="210">
        <v>0</v>
      </c>
      <c r="F115" s="210">
        <v>0</v>
      </c>
      <c r="G115" s="210">
        <v>0</v>
      </c>
      <c r="H115" s="210">
        <v>0</v>
      </c>
      <c r="I115" s="210">
        <v>0</v>
      </c>
      <c r="J115" s="210">
        <v>0</v>
      </c>
      <c r="K115" s="210">
        <v>0</v>
      </c>
      <c r="L115" s="210">
        <v>0</v>
      </c>
      <c r="M115" s="210">
        <v>0</v>
      </c>
      <c r="N115" s="210">
        <v>0</v>
      </c>
      <c r="O115" s="211">
        <v>0</v>
      </c>
    </row>
    <row r="116" spans="1:15" x14ac:dyDescent="0.2">
      <c r="A116" s="204"/>
      <c r="B116" s="205" t="s">
        <v>88</v>
      </c>
      <c r="C116" s="209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0">
        <v>0</v>
      </c>
      <c r="J116" s="210">
        <v>0</v>
      </c>
      <c r="K116" s="210">
        <v>0</v>
      </c>
      <c r="L116" s="210">
        <v>0</v>
      </c>
      <c r="M116" s="210">
        <v>0</v>
      </c>
      <c r="N116" s="210">
        <v>0</v>
      </c>
      <c r="O116" s="211">
        <v>0</v>
      </c>
    </row>
    <row r="117" spans="1:15" x14ac:dyDescent="0.2">
      <c r="A117" s="194" t="s">
        <v>70</v>
      </c>
      <c r="B117" s="195"/>
      <c r="C117" s="201">
        <v>45856.132409956306</v>
      </c>
      <c r="D117" s="202">
        <v>47851.993799349315</v>
      </c>
      <c r="E117" s="202">
        <v>34095.154076362414</v>
      </c>
      <c r="F117" s="202">
        <v>33992.927029588624</v>
      </c>
      <c r="G117" s="202">
        <v>41684.295310664107</v>
      </c>
      <c r="H117" s="202">
        <v>47384.670156954853</v>
      </c>
      <c r="I117" s="202">
        <v>51882.660215001517</v>
      </c>
      <c r="J117" s="202">
        <v>52213.68112836426</v>
      </c>
      <c r="K117" s="202">
        <v>45242.770129313576</v>
      </c>
      <c r="L117" s="202">
        <v>41168.292122186882</v>
      </c>
      <c r="M117" s="202">
        <v>32990.128380283852</v>
      </c>
      <c r="N117" s="202">
        <v>41022.253483938621</v>
      </c>
      <c r="O117" s="203">
        <v>515384.9582419644</v>
      </c>
    </row>
    <row r="118" spans="1:15" x14ac:dyDescent="0.2">
      <c r="A118" s="194" t="s">
        <v>28</v>
      </c>
      <c r="B118" s="195"/>
      <c r="C118" s="212">
        <v>2397.727794040939</v>
      </c>
      <c r="D118" s="213">
        <v>2502.0874963293459</v>
      </c>
      <c r="E118" s="213">
        <v>1782.7691581170643</v>
      </c>
      <c r="F118" s="213">
        <v>1777.4239050730248</v>
      </c>
      <c r="G118" s="213">
        <v>2179.5905626722465</v>
      </c>
      <c r="H118" s="213">
        <v>2477.6520538423065</v>
      </c>
      <c r="I118" s="213">
        <v>2712.8431877800772</v>
      </c>
      <c r="J118" s="213">
        <v>2730.1516262083987</v>
      </c>
      <c r="K118" s="213">
        <v>2365.6562757766992</v>
      </c>
      <c r="L118" s="213">
        <v>2152.6097615928061</v>
      </c>
      <c r="M118" s="213">
        <v>1724.9895180695805</v>
      </c>
      <c r="N118" s="213">
        <v>2144.9736858156052</v>
      </c>
      <c r="O118" s="214">
        <v>26948.475025318094</v>
      </c>
    </row>
    <row r="119" spans="1:15" x14ac:dyDescent="0.2">
      <c r="A119" s="194" t="s">
        <v>29</v>
      </c>
      <c r="B119" s="195"/>
      <c r="C119" s="212">
        <v>171.68082410817937</v>
      </c>
      <c r="D119" s="213">
        <v>179.15313173921476</v>
      </c>
      <c r="E119" s="213">
        <v>127.64888450676094</v>
      </c>
      <c r="F119" s="213">
        <v>127.26615655492743</v>
      </c>
      <c r="G119" s="213">
        <v>156.06187864525896</v>
      </c>
      <c r="H119" s="213">
        <v>177.40351824511862</v>
      </c>
      <c r="I119" s="213">
        <v>194.24354812579361</v>
      </c>
      <c r="J119" s="213">
        <v>195.48285768411165</v>
      </c>
      <c r="K119" s="213">
        <v>169.38445639717824</v>
      </c>
      <c r="L119" s="213">
        <v>154.13001374552786</v>
      </c>
      <c r="M119" s="213">
        <v>123.51177759884624</v>
      </c>
      <c r="N119" s="213">
        <v>153.58325952862285</v>
      </c>
      <c r="O119" s="214">
        <v>1929.5503068795406</v>
      </c>
    </row>
    <row r="120" spans="1:15" x14ac:dyDescent="0.2">
      <c r="A120" s="194" t="s">
        <v>30</v>
      </c>
      <c r="B120" s="195"/>
      <c r="C120" s="212">
        <v>2569.4086181491189</v>
      </c>
      <c r="D120" s="213">
        <v>2681.2406280685605</v>
      </c>
      <c r="E120" s="213">
        <v>1910.4180426238252</v>
      </c>
      <c r="F120" s="213">
        <v>1904.6900616279518</v>
      </c>
      <c r="G120" s="213">
        <v>2335.6524413175052</v>
      </c>
      <c r="H120" s="213">
        <v>2655.0555720874249</v>
      </c>
      <c r="I120" s="213">
        <v>2907.0867359058707</v>
      </c>
      <c r="J120" s="213">
        <v>2925.6344838925097</v>
      </c>
      <c r="K120" s="213">
        <v>2535.040732173878</v>
      </c>
      <c r="L120" s="213">
        <v>2306.7397753383343</v>
      </c>
      <c r="M120" s="213">
        <v>1848.5012956684266</v>
      </c>
      <c r="N120" s="213">
        <v>2298.5569453442286</v>
      </c>
      <c r="O120" s="214">
        <v>28878.025332197638</v>
      </c>
    </row>
    <row r="121" spans="1:15" x14ac:dyDescent="0.2">
      <c r="A121" s="194" t="s">
        <v>60</v>
      </c>
      <c r="B121" s="195"/>
      <c r="C121" s="201">
        <v>43458.404615915366</v>
      </c>
      <c r="D121" s="202">
        <v>45349.906303019969</v>
      </c>
      <c r="E121" s="202">
        <v>32312.38491824536</v>
      </c>
      <c r="F121" s="202">
        <v>32215.503124515606</v>
      </c>
      <c r="G121" s="202">
        <v>39504.704747991855</v>
      </c>
      <c r="H121" s="202">
        <v>44907.018103112547</v>
      </c>
      <c r="I121" s="202">
        <v>49169.817027221448</v>
      </c>
      <c r="J121" s="202">
        <v>49483.52950215587</v>
      </c>
      <c r="K121" s="202">
        <v>42877.113853536888</v>
      </c>
      <c r="L121" s="202">
        <v>39015.682360594081</v>
      </c>
      <c r="M121" s="202">
        <v>31265.138862214269</v>
      </c>
      <c r="N121" s="202">
        <v>38877.279798123011</v>
      </c>
      <c r="O121" s="203">
        <v>488436.48321664624</v>
      </c>
    </row>
    <row r="122" spans="1:15" x14ac:dyDescent="0.2">
      <c r="A122" s="194" t="s">
        <v>87</v>
      </c>
      <c r="B122" s="195"/>
      <c r="C122" s="201">
        <v>0</v>
      </c>
      <c r="D122" s="202">
        <v>0</v>
      </c>
      <c r="E122" s="202">
        <v>0</v>
      </c>
      <c r="F122" s="202">
        <v>0</v>
      </c>
      <c r="G122" s="202">
        <v>0</v>
      </c>
      <c r="H122" s="202">
        <v>0</v>
      </c>
      <c r="I122" s="202">
        <v>0</v>
      </c>
      <c r="J122" s="202">
        <v>0</v>
      </c>
      <c r="K122" s="202">
        <v>0</v>
      </c>
      <c r="L122" s="202">
        <v>0</v>
      </c>
      <c r="M122" s="202">
        <v>0</v>
      </c>
      <c r="N122" s="202">
        <v>0</v>
      </c>
      <c r="O122" s="203">
        <v>0</v>
      </c>
    </row>
    <row r="123" spans="1:15" x14ac:dyDescent="0.2">
      <c r="A123" s="215" t="s">
        <v>89</v>
      </c>
      <c r="B123" s="216"/>
      <c r="C123" s="217">
        <v>0</v>
      </c>
      <c r="D123" s="218">
        <v>0</v>
      </c>
      <c r="E123" s="218">
        <v>0</v>
      </c>
      <c r="F123" s="218">
        <v>0</v>
      </c>
      <c r="G123" s="218">
        <v>0</v>
      </c>
      <c r="H123" s="218">
        <v>0</v>
      </c>
      <c r="I123" s="218">
        <v>0</v>
      </c>
      <c r="J123" s="218">
        <v>0</v>
      </c>
      <c r="K123" s="218">
        <v>0</v>
      </c>
      <c r="L123" s="218">
        <v>0</v>
      </c>
      <c r="M123" s="218">
        <v>0</v>
      </c>
      <c r="N123" s="218">
        <v>0</v>
      </c>
      <c r="O123" s="219">
        <v>0</v>
      </c>
    </row>
  </sheetData>
  <phoneticPr fontId="6" type="noConversion"/>
  <pageMargins left="0.5" right="0.5" top="0.73" bottom="0.98" header="0.5" footer="0.5"/>
  <pageSetup scale="53" fitToHeight="0" orientation="landscape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topLeftCell="A10" zoomScale="80" zoomScaleNormal="80" zoomScaleSheetLayoutView="100" workbookViewId="0">
      <selection activeCell="D32" sqref="D32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6" customWidth="1"/>
    <col min="5" max="5" width="24.28515625" customWidth="1"/>
    <col min="6" max="6" width="7.7109375" style="86" customWidth="1"/>
    <col min="7" max="7" width="7.42578125" style="86" bestFit="1" customWidth="1"/>
    <col min="8" max="8" width="11.140625" style="86" bestFit="1" customWidth="1"/>
    <col min="9" max="9" width="11.28515625" style="45" customWidth="1"/>
    <col min="10" max="10" width="14.85546875" style="86" bestFit="1" customWidth="1"/>
    <col min="11" max="11" width="14.85546875" style="92" bestFit="1" customWidth="1"/>
    <col min="12" max="12" width="14.7109375" style="86" customWidth="1"/>
    <col min="13" max="13" width="13.42578125" style="86" bestFit="1" customWidth="1"/>
    <col min="14" max="15" width="13.42578125" style="86" customWidth="1"/>
    <col min="16" max="16" width="14.85546875" style="86" bestFit="1" customWidth="1"/>
    <col min="17" max="17" width="13.42578125" style="86" customWidth="1"/>
    <col min="18" max="18" width="15.5703125" style="179" customWidth="1"/>
  </cols>
  <sheetData>
    <row r="1" spans="2:18" ht="22.5" x14ac:dyDescent="0.2">
      <c r="B1" s="8" t="s">
        <v>94</v>
      </c>
      <c r="C1" s="76"/>
      <c r="D1" s="77"/>
      <c r="E1" s="76"/>
      <c r="F1" s="78" t="s">
        <v>12</v>
      </c>
      <c r="G1" s="79"/>
      <c r="H1" s="80"/>
      <c r="I1" s="81"/>
      <c r="J1" s="181" t="str">
        <f>"True-Up ARR
(CY"&amp;R1&amp;")"</f>
        <v>True-Up ARR
(CY2025)</v>
      </c>
      <c r="K1" s="181" t="str">
        <f>"Projected ARR
(Jan'"&amp;RIGHT(R$1,2)&amp;" - Dec'"&amp;RIGHT(R$1,2)&amp;")"</f>
        <v>Projected ARR
(Jan'25 - Dec'25)</v>
      </c>
      <c r="L1" s="82" t="s">
        <v>44</v>
      </c>
      <c r="M1" s="83"/>
      <c r="N1"/>
      <c r="O1"/>
      <c r="P1"/>
      <c r="Q1"/>
      <c r="R1" s="84">
        <v>2025</v>
      </c>
    </row>
    <row r="2" spans="2:18" x14ac:dyDescent="0.2">
      <c r="B2" s="8" t="s">
        <v>51</v>
      </c>
      <c r="C2" s="76"/>
      <c r="D2" s="77"/>
      <c r="E2" s="76"/>
      <c r="F2" s="85">
        <v>1</v>
      </c>
      <c r="G2" s="222"/>
      <c r="H2" s="222"/>
      <c r="I2" s="87" t="s">
        <v>6</v>
      </c>
      <c r="J2" s="88">
        <v>515384.9582419644</v>
      </c>
      <c r="K2" s="88">
        <v>477765.64565012691</v>
      </c>
      <c r="L2" s="188"/>
      <c r="M2" s="90"/>
      <c r="N2"/>
      <c r="O2"/>
      <c r="P2"/>
      <c r="Q2"/>
      <c r="R2"/>
    </row>
    <row r="3" spans="2:18" x14ac:dyDescent="0.2">
      <c r="B3" s="8" t="str">
        <f>"for CY"&amp;R1&amp;" SPP Network Transmission Service"</f>
        <v>for CY2025 SPP Network Transmission Service</v>
      </c>
      <c r="C3" s="76"/>
      <c r="D3" s="77"/>
      <c r="E3" s="76"/>
      <c r="F3" s="85"/>
      <c r="G3" s="222"/>
      <c r="H3" s="222"/>
      <c r="I3" s="87" t="s">
        <v>10</v>
      </c>
      <c r="J3" s="91">
        <v>4.8679546082756167</v>
      </c>
      <c r="K3" s="91">
        <v>4.6134187490356018</v>
      </c>
      <c r="L3" s="109" t="str">
        <f>"Inv. Jan-Dec'"&amp;RIGHT(R1,2)</f>
        <v>Inv. Jan-Dec'25</v>
      </c>
      <c r="M3" s="90"/>
      <c r="N3"/>
      <c r="O3"/>
      <c r="P3"/>
      <c r="Q3"/>
      <c r="R3"/>
    </row>
    <row r="4" spans="2:18" x14ac:dyDescent="0.2">
      <c r="B4" s="7"/>
      <c r="C4" s="76"/>
      <c r="D4" s="77"/>
      <c r="E4" s="76"/>
      <c r="F4" s="85"/>
      <c r="M4" s="93"/>
      <c r="R4"/>
    </row>
    <row r="5" spans="2:18" x14ac:dyDescent="0.2">
      <c r="B5" s="7"/>
      <c r="C5" s="76"/>
      <c r="D5" s="77"/>
      <c r="E5" s="76"/>
      <c r="F5" s="85"/>
      <c r="I5" s="87"/>
      <c r="K5" s="88">
        <v>0</v>
      </c>
      <c r="L5" s="109"/>
      <c r="M5" s="94"/>
      <c r="N5" s="95"/>
      <c r="O5" s="95"/>
      <c r="P5" s="95"/>
      <c r="Q5" s="95"/>
      <c r="R5" s="96"/>
    </row>
    <row r="6" spans="2:18" x14ac:dyDescent="0.2">
      <c r="B6" s="8" t="s">
        <v>23</v>
      </c>
      <c r="D6" s="77"/>
      <c r="E6" s="76"/>
      <c r="F6" s="97"/>
      <c r="G6" s="14"/>
      <c r="H6" s="98"/>
      <c r="I6" s="99"/>
      <c r="J6" s="100"/>
      <c r="K6" s="91">
        <v>0</v>
      </c>
      <c r="L6" s="101"/>
      <c r="M6" s="94"/>
      <c r="N6" s="95"/>
      <c r="O6" s="95"/>
      <c r="P6" s="95"/>
      <c r="Q6" s="95"/>
      <c r="R6"/>
    </row>
    <row r="7" spans="2:18" x14ac:dyDescent="0.2">
      <c r="B7" s="7" t="s">
        <v>76</v>
      </c>
      <c r="D7" s="77"/>
      <c r="E7" s="76"/>
      <c r="F7" s="85"/>
      <c r="G7" s="223"/>
      <c r="H7" s="222"/>
      <c r="I7" s="87"/>
      <c r="J7" s="102"/>
      <c r="K7" s="89"/>
      <c r="L7" s="89"/>
      <c r="M7" s="103"/>
      <c r="N7" s="104"/>
      <c r="O7" s="104"/>
      <c r="P7" s="104"/>
      <c r="Q7" s="104"/>
      <c r="R7"/>
    </row>
    <row r="8" spans="2:18" x14ac:dyDescent="0.2">
      <c r="B8" s="8"/>
      <c r="C8" s="76"/>
      <c r="D8" s="77"/>
      <c r="E8" s="76"/>
      <c r="F8" s="85"/>
      <c r="G8" s="222"/>
      <c r="H8" s="222"/>
      <c r="I8" s="87"/>
      <c r="J8" s="105"/>
      <c r="K8" s="89"/>
      <c r="L8" s="106"/>
      <c r="M8" s="90"/>
      <c r="N8"/>
      <c r="O8"/>
      <c r="P8"/>
      <c r="Q8"/>
      <c r="R8" s="96"/>
    </row>
    <row r="9" spans="2:18" x14ac:dyDescent="0.2">
      <c r="B9" s="107"/>
      <c r="C9" s="76"/>
      <c r="D9" s="77"/>
      <c r="E9" s="76"/>
      <c r="F9" s="85"/>
      <c r="I9" s="108"/>
      <c r="L9" s="109"/>
      <c r="M9" s="90"/>
      <c r="N9"/>
      <c r="O9"/>
      <c r="P9"/>
      <c r="Q9"/>
      <c r="R9" s="96"/>
    </row>
    <row r="10" spans="2:18" ht="13.5" thickBot="1" x14ac:dyDescent="0.25">
      <c r="B10" s="7"/>
      <c r="D10"/>
      <c r="E10" s="110"/>
      <c r="F10" s="111"/>
      <c r="G10" s="112"/>
      <c r="H10" s="113"/>
      <c r="I10" s="114"/>
      <c r="J10" s="115"/>
      <c r="K10" s="115"/>
      <c r="L10" s="116"/>
      <c r="M10" s="117"/>
      <c r="R10" s="118"/>
    </row>
    <row r="11" spans="2:18" x14ac:dyDescent="0.2">
      <c r="B11" s="119"/>
      <c r="E11" s="110"/>
      <c r="L11" s="120"/>
      <c r="M11"/>
      <c r="N11"/>
      <c r="O11"/>
      <c r="P11"/>
      <c r="Q11"/>
      <c r="R11" s="96"/>
    </row>
    <row r="12" spans="2:18" x14ac:dyDescent="0.2">
      <c r="E12" s="110"/>
      <c r="L12" s="120"/>
      <c r="R12" s="121" t="s">
        <v>59</v>
      </c>
    </row>
    <row r="13" spans="2:18" x14ac:dyDescent="0.2">
      <c r="E13" s="110"/>
      <c r="F13" s="122"/>
      <c r="G13" s="123"/>
      <c r="H13" s="123"/>
      <c r="I13" s="124" t="s">
        <v>57</v>
      </c>
      <c r="J13" s="125">
        <f t="shared" ref="J13:R13" si="0">SUM(J56:J211)</f>
        <v>136804.12835636965</v>
      </c>
      <c r="K13" s="125">
        <f t="shared" si="0"/>
        <v>129650.90710414757</v>
      </c>
      <c r="L13" s="126">
        <f t="shared" si="0"/>
        <v>7153.2212522221407</v>
      </c>
      <c r="M13" s="127">
        <f t="shared" si="0"/>
        <v>512.18112525606807</v>
      </c>
      <c r="N13" s="125">
        <f t="shared" si="0"/>
        <v>7665.402377478209</v>
      </c>
      <c r="O13" s="125">
        <f t="shared" si="0"/>
        <v>0</v>
      </c>
      <c r="P13" s="125">
        <f t="shared" si="0"/>
        <v>0</v>
      </c>
      <c r="Q13" s="125">
        <f t="shared" si="0"/>
        <v>0</v>
      </c>
      <c r="R13" s="126">
        <f t="shared" si="0"/>
        <v>7665.402377478209</v>
      </c>
    </row>
    <row r="14" spans="2:18" x14ac:dyDescent="0.2">
      <c r="E14" s="110"/>
      <c r="F14" s="128"/>
      <c r="G14" s="128"/>
      <c r="H14" s="128"/>
      <c r="I14" s="129" t="s">
        <v>58</v>
      </c>
      <c r="J14" s="125">
        <f>SUM(J20:J211)</f>
        <v>515384.95824196428</v>
      </c>
      <c r="K14" s="125">
        <f>SUM(K20:K211)</f>
        <v>488436.48321664595</v>
      </c>
      <c r="L14" s="126">
        <f>SUM(L20:L211)</f>
        <v>26948.475025318079</v>
      </c>
      <c r="M14" s="180">
        <v>1929.5503068795406</v>
      </c>
      <c r="N14" s="125">
        <f>SUM(N20:N211)</f>
        <v>28878.025332197634</v>
      </c>
      <c r="O14" s="125">
        <f>SUM(O20:O211)</f>
        <v>0</v>
      </c>
      <c r="P14" s="125">
        <f>SUM(P20:P211)</f>
        <v>0</v>
      </c>
      <c r="Q14" s="125">
        <f>SUM(Q20:Q211)</f>
        <v>0</v>
      </c>
      <c r="R14" s="126">
        <f>SUM(R20:R211)</f>
        <v>28878.025332197634</v>
      </c>
    </row>
    <row r="15" spans="2:18" x14ac:dyDescent="0.2">
      <c r="B15" s="130" t="s">
        <v>81</v>
      </c>
      <c r="E15" s="110"/>
      <c r="J15" s="45"/>
      <c r="L15" s="120"/>
      <c r="M15" s="131"/>
      <c r="N15" s="131"/>
      <c r="O15" s="131"/>
      <c r="P15" s="131"/>
      <c r="Q15" s="131"/>
      <c r="R15" s="132" t="s">
        <v>20</v>
      </c>
    </row>
    <row r="16" spans="2:18" x14ac:dyDescent="0.2">
      <c r="B16" s="133" t="str">
        <f>"** Actual Trued-Up CY"&amp;R1&amp;" Charge reflects "&amp;R1&amp;" True-UP Rate x MW"</f>
        <v>** Actual Trued-Up CY2025 Charge reflects 2025 True-UP Rate x MW</v>
      </c>
      <c r="E16" s="110"/>
      <c r="G16" s="3"/>
      <c r="J16" s="134"/>
      <c r="L16" s="135" t="s">
        <v>11</v>
      </c>
      <c r="M16" s="131"/>
      <c r="N16" s="131"/>
      <c r="O16" s="131"/>
      <c r="P16" s="131"/>
      <c r="Q16" s="131"/>
      <c r="R16" s="136"/>
    </row>
    <row r="17" spans="1:18" x14ac:dyDescent="0.2">
      <c r="B17" s="137" t="s">
        <v>61</v>
      </c>
      <c r="E17" s="110"/>
      <c r="I17" s="138"/>
      <c r="J17" s="139"/>
      <c r="K17" s="138"/>
      <c r="L17" s="138"/>
      <c r="M17" s="138"/>
      <c r="N17" s="138"/>
      <c r="O17" s="138"/>
      <c r="P17" s="138"/>
      <c r="Q17" s="138"/>
      <c r="R17" s="140"/>
    </row>
    <row r="18" spans="1:18" ht="3.6" customHeight="1" x14ac:dyDescent="0.2">
      <c r="I18" s="141"/>
      <c r="J18" s="139"/>
      <c r="K18" s="141"/>
      <c r="L18" s="141"/>
      <c r="M18" s="142"/>
      <c r="N18" s="142"/>
      <c r="O18" s="142"/>
      <c r="P18" s="142"/>
      <c r="Q18" s="142"/>
      <c r="R18" s="143"/>
    </row>
    <row r="19" spans="1:18" ht="38.25" customHeight="1" x14ac:dyDescent="0.2">
      <c r="B19" s="144" t="s">
        <v>52</v>
      </c>
      <c r="C19" s="189" t="s">
        <v>4</v>
      </c>
      <c r="D19" s="189" t="s">
        <v>5</v>
      </c>
      <c r="E19" s="182" t="s">
        <v>0</v>
      </c>
      <c r="F19" s="183" t="s">
        <v>12</v>
      </c>
      <c r="G19" s="184" t="s">
        <v>1</v>
      </c>
      <c r="H19" s="145" t="s">
        <v>47</v>
      </c>
      <c r="I19" s="145" t="s">
        <v>45</v>
      </c>
      <c r="J19" s="146" t="str">
        <f>"True-Up Charge"</f>
        <v>True-Up Charge</v>
      </c>
      <c r="K19" s="146" t="s">
        <v>46</v>
      </c>
      <c r="L19" s="147" t="s">
        <v>3</v>
      </c>
      <c r="M19" s="148" t="s">
        <v>7</v>
      </c>
      <c r="N19" s="149" t="s">
        <v>97</v>
      </c>
      <c r="O19" s="149" t="s">
        <v>83</v>
      </c>
      <c r="P19" s="149" t="s">
        <v>84</v>
      </c>
      <c r="Q19" s="149" t="s">
        <v>85</v>
      </c>
      <c r="R19" s="150" t="s">
        <v>2</v>
      </c>
    </row>
    <row r="20" spans="1:18" ht="12.75" customHeight="1" x14ac:dyDescent="0.2">
      <c r="A20" s="86">
        <v>1</v>
      </c>
      <c r="B20" s="151">
        <f>DATE($R$1,A20,1)</f>
        <v>45658</v>
      </c>
      <c r="C20" s="185">
        <v>45693</v>
      </c>
      <c r="D20" s="185">
        <v>45712</v>
      </c>
      <c r="E20" s="152" t="s">
        <v>21</v>
      </c>
      <c r="F20" s="86">
        <v>9</v>
      </c>
      <c r="G20" s="153">
        <v>2941</v>
      </c>
      <c r="H20" s="154">
        <f>+$K$3</f>
        <v>4.6134187490356018</v>
      </c>
      <c r="I20" s="154">
        <f t="shared" ref="I20:I63" si="1">$J$3</f>
        <v>4.8679546082756167</v>
      </c>
      <c r="J20" s="105">
        <f t="shared" ref="J20:J108" si="2">+$G20*I20</f>
        <v>14316.654502938589</v>
      </c>
      <c r="K20" s="155">
        <f>+$G20*H20</f>
        <v>13568.064540913705</v>
      </c>
      <c r="L20" s="156">
        <f t="shared" ref="L20:L34" si="3">+J20-K20</f>
        <v>748.58996202488379</v>
      </c>
      <c r="M20" s="105">
        <f>G20/$G$212*$M$14</f>
        <v>53.600138397256423</v>
      </c>
      <c r="N20" s="157">
        <f>SUM(L20:M20)</f>
        <v>802.19010042214018</v>
      </c>
      <c r="O20" s="105">
        <v>0</v>
      </c>
      <c r="P20" s="105">
        <v>0</v>
      </c>
      <c r="Q20" s="105">
        <v>0</v>
      </c>
      <c r="R20" s="157">
        <f>+N20-Q20</f>
        <v>802.19010042214018</v>
      </c>
    </row>
    <row r="21" spans="1:18" x14ac:dyDescent="0.2">
      <c r="A21" s="86">
        <v>2</v>
      </c>
      <c r="B21" s="151">
        <f t="shared" ref="B21:B108" si="4">DATE($R$1,A21,1)</f>
        <v>45689</v>
      </c>
      <c r="C21" s="185">
        <v>45721</v>
      </c>
      <c r="D21" s="185">
        <v>45740</v>
      </c>
      <c r="E21" s="158" t="s">
        <v>21</v>
      </c>
      <c r="F21" s="86">
        <v>9</v>
      </c>
      <c r="G21" s="153">
        <v>3221</v>
      </c>
      <c r="H21" s="154">
        <f t="shared" ref="H21:H84" si="5">+$K$3</f>
        <v>4.6134187490356018</v>
      </c>
      <c r="I21" s="154">
        <f t="shared" si="1"/>
        <v>4.8679546082756167</v>
      </c>
      <c r="J21" s="105">
        <f t="shared" si="2"/>
        <v>15679.681793255761</v>
      </c>
      <c r="K21" s="155">
        <f t="shared" ref="K21:K33" si="6">+$G21*H21</f>
        <v>14859.821790643673</v>
      </c>
      <c r="L21" s="156">
        <f t="shared" si="3"/>
        <v>819.86000261208756</v>
      </c>
      <c r="M21" s="105">
        <f t="shared" ref="M21:M84" si="7">G21/$G$212*$M$14</f>
        <v>58.703177755036698</v>
      </c>
      <c r="N21" s="157">
        <f t="shared" ref="N21:N84" si="8">SUM(L21:M21)</f>
        <v>878.56318036712423</v>
      </c>
      <c r="O21" s="105">
        <v>0</v>
      </c>
      <c r="P21" s="105">
        <v>0</v>
      </c>
      <c r="Q21" s="105">
        <v>0</v>
      </c>
      <c r="R21" s="157">
        <f t="shared" ref="R21:R84" si="9">+N21-Q21</f>
        <v>878.56318036712423</v>
      </c>
    </row>
    <row r="22" spans="1:18" x14ac:dyDescent="0.2">
      <c r="A22" s="86">
        <v>3</v>
      </c>
      <c r="B22" s="151">
        <f t="shared" si="4"/>
        <v>45717</v>
      </c>
      <c r="C22" s="185">
        <v>45750</v>
      </c>
      <c r="D22" s="185">
        <v>45771</v>
      </c>
      <c r="E22" s="158" t="s">
        <v>21</v>
      </c>
      <c r="F22" s="86">
        <v>9</v>
      </c>
      <c r="G22" s="153">
        <v>2419</v>
      </c>
      <c r="H22" s="154">
        <f t="shared" si="5"/>
        <v>4.6134187490356018</v>
      </c>
      <c r="I22" s="154">
        <f t="shared" si="1"/>
        <v>4.8679546082756167</v>
      </c>
      <c r="J22" s="105">
        <f t="shared" si="2"/>
        <v>11775.582197418717</v>
      </c>
      <c r="K22" s="155">
        <f t="shared" si="6"/>
        <v>11159.859953917121</v>
      </c>
      <c r="L22" s="156">
        <f t="shared" si="3"/>
        <v>615.72224350159559</v>
      </c>
      <c r="M22" s="105">
        <f t="shared" si="7"/>
        <v>44.086615023108905</v>
      </c>
      <c r="N22" s="157">
        <f t="shared" si="8"/>
        <v>659.80885852470453</v>
      </c>
      <c r="O22" s="105">
        <v>0</v>
      </c>
      <c r="P22" s="105">
        <v>0</v>
      </c>
      <c r="Q22" s="105">
        <v>0</v>
      </c>
      <c r="R22" s="157">
        <f t="shared" si="9"/>
        <v>659.80885852470453</v>
      </c>
    </row>
    <row r="23" spans="1:18" x14ac:dyDescent="0.2">
      <c r="A23" s="86">
        <v>4</v>
      </c>
      <c r="B23" s="151">
        <f t="shared" si="4"/>
        <v>45748</v>
      </c>
      <c r="C23" s="185">
        <v>45782</v>
      </c>
      <c r="D23" s="185">
        <v>45803</v>
      </c>
      <c r="E23" s="158" t="s">
        <v>21</v>
      </c>
      <c r="F23" s="86">
        <v>9</v>
      </c>
      <c r="G23" s="153">
        <v>2717</v>
      </c>
      <c r="H23" s="154">
        <f t="shared" si="5"/>
        <v>4.6134187490356018</v>
      </c>
      <c r="I23" s="154">
        <f t="shared" si="1"/>
        <v>4.8679546082756167</v>
      </c>
      <c r="J23" s="105">
        <f t="shared" si="2"/>
        <v>13226.232670684851</v>
      </c>
      <c r="K23" s="155">
        <f t="shared" si="6"/>
        <v>12534.65874112973</v>
      </c>
      <c r="L23" s="156">
        <f t="shared" si="3"/>
        <v>691.57392955512114</v>
      </c>
      <c r="M23" s="105">
        <f t="shared" si="7"/>
        <v>49.517706911032192</v>
      </c>
      <c r="N23" s="157">
        <f t="shared" si="8"/>
        <v>741.09163646615332</v>
      </c>
      <c r="O23" s="105">
        <v>0</v>
      </c>
      <c r="P23" s="105">
        <v>0</v>
      </c>
      <c r="Q23" s="105">
        <v>0</v>
      </c>
      <c r="R23" s="157">
        <f t="shared" si="9"/>
        <v>741.09163646615332</v>
      </c>
    </row>
    <row r="24" spans="1:18" ht="12" customHeight="1" x14ac:dyDescent="0.2">
      <c r="A24" s="86">
        <v>5</v>
      </c>
      <c r="B24" s="151">
        <f t="shared" si="4"/>
        <v>45778</v>
      </c>
      <c r="C24" s="185">
        <v>45812</v>
      </c>
      <c r="D24" s="185">
        <v>45832</v>
      </c>
      <c r="E24" s="1" t="s">
        <v>21</v>
      </c>
      <c r="F24" s="86">
        <v>9</v>
      </c>
      <c r="G24" s="153">
        <v>3378</v>
      </c>
      <c r="H24" s="154">
        <f t="shared" si="5"/>
        <v>4.6134187490356018</v>
      </c>
      <c r="I24" s="154">
        <f t="shared" si="1"/>
        <v>4.8679546082756167</v>
      </c>
      <c r="J24" s="105">
        <f t="shared" si="2"/>
        <v>16443.950666755034</v>
      </c>
      <c r="K24" s="155">
        <f t="shared" si="6"/>
        <v>15584.128534242263</v>
      </c>
      <c r="L24" s="156">
        <f t="shared" si="3"/>
        <v>859.82213251277062</v>
      </c>
      <c r="M24" s="105">
        <f t="shared" si="7"/>
        <v>61.564524823506346</v>
      </c>
      <c r="N24" s="157">
        <f t="shared" si="8"/>
        <v>921.38665733627693</v>
      </c>
      <c r="O24" s="105">
        <v>0</v>
      </c>
      <c r="P24" s="105">
        <v>0</v>
      </c>
      <c r="Q24" s="105">
        <v>0</v>
      </c>
      <c r="R24" s="157">
        <f t="shared" si="9"/>
        <v>921.38665733627693</v>
      </c>
    </row>
    <row r="25" spans="1:18" x14ac:dyDescent="0.2">
      <c r="A25" s="86">
        <v>6</v>
      </c>
      <c r="B25" s="151">
        <f t="shared" si="4"/>
        <v>45809</v>
      </c>
      <c r="C25" s="185">
        <v>45841</v>
      </c>
      <c r="D25" s="185">
        <v>45862</v>
      </c>
      <c r="E25" s="1" t="s">
        <v>21</v>
      </c>
      <c r="F25" s="86">
        <v>9</v>
      </c>
      <c r="G25" s="153">
        <v>3824</v>
      </c>
      <c r="H25" s="154">
        <f t="shared" si="5"/>
        <v>4.6134187490356018</v>
      </c>
      <c r="I25" s="154">
        <f t="shared" si="1"/>
        <v>4.8679546082756167</v>
      </c>
      <c r="J25" s="105">
        <f t="shared" si="2"/>
        <v>18615.058422045957</v>
      </c>
      <c r="K25" s="155">
        <f t="shared" si="6"/>
        <v>17641.71329631214</v>
      </c>
      <c r="L25" s="156">
        <f t="shared" si="3"/>
        <v>973.34512573381653</v>
      </c>
      <c r="M25" s="105">
        <f t="shared" si="7"/>
        <v>69.69293751482779</v>
      </c>
      <c r="N25" s="157">
        <f t="shared" si="8"/>
        <v>1043.0380632486442</v>
      </c>
      <c r="O25" s="105">
        <v>0</v>
      </c>
      <c r="P25" s="105">
        <v>0</v>
      </c>
      <c r="Q25" s="105">
        <v>0</v>
      </c>
      <c r="R25" s="157">
        <f t="shared" si="9"/>
        <v>1043.0380632486442</v>
      </c>
    </row>
    <row r="26" spans="1:18" x14ac:dyDescent="0.2">
      <c r="A26" s="86">
        <v>7</v>
      </c>
      <c r="B26" s="151">
        <f t="shared" si="4"/>
        <v>45839</v>
      </c>
      <c r="C26" s="185">
        <v>45874</v>
      </c>
      <c r="D26" s="185">
        <v>45894</v>
      </c>
      <c r="E26" s="1" t="s">
        <v>21</v>
      </c>
      <c r="F26" s="86">
        <v>9</v>
      </c>
      <c r="G26" s="153">
        <v>4110</v>
      </c>
      <c r="H26" s="154">
        <f t="shared" si="5"/>
        <v>4.6134187490356018</v>
      </c>
      <c r="I26" s="154">
        <f t="shared" si="1"/>
        <v>4.8679546082756167</v>
      </c>
      <c r="J26" s="105">
        <f t="shared" si="2"/>
        <v>20007.293440012785</v>
      </c>
      <c r="K26" s="155">
        <f t="shared" si="6"/>
        <v>18961.151058536325</v>
      </c>
      <c r="L26" s="156">
        <f t="shared" si="3"/>
        <v>1046.1423814764603</v>
      </c>
      <c r="M26" s="105">
        <f t="shared" si="7"/>
        <v>74.905327715989074</v>
      </c>
      <c r="N26" s="157">
        <f t="shared" si="8"/>
        <v>1121.0477091924495</v>
      </c>
      <c r="O26" s="105">
        <v>0</v>
      </c>
      <c r="P26" s="105">
        <v>0</v>
      </c>
      <c r="Q26" s="105">
        <v>0</v>
      </c>
      <c r="R26" s="157">
        <f t="shared" si="9"/>
        <v>1121.0477091924495</v>
      </c>
    </row>
    <row r="27" spans="1:18" x14ac:dyDescent="0.2">
      <c r="A27" s="86">
        <v>8</v>
      </c>
      <c r="B27" s="151">
        <f t="shared" si="4"/>
        <v>45870</v>
      </c>
      <c r="C27" s="185">
        <v>45904</v>
      </c>
      <c r="D27" s="185">
        <v>45924</v>
      </c>
      <c r="E27" s="1" t="s">
        <v>21</v>
      </c>
      <c r="F27" s="86">
        <v>9</v>
      </c>
      <c r="G27" s="153">
        <v>4096</v>
      </c>
      <c r="H27" s="154">
        <f t="shared" si="5"/>
        <v>4.6134187490356018</v>
      </c>
      <c r="I27" s="154">
        <f t="shared" si="1"/>
        <v>4.8679546082756167</v>
      </c>
      <c r="J27" s="105">
        <f t="shared" si="2"/>
        <v>19939.142075496926</v>
      </c>
      <c r="K27" s="155">
        <f t="shared" si="6"/>
        <v>18896.563196049825</v>
      </c>
      <c r="L27" s="156">
        <f t="shared" si="3"/>
        <v>1042.5788794471009</v>
      </c>
      <c r="M27" s="105">
        <f t="shared" si="7"/>
        <v>74.650175748100054</v>
      </c>
      <c r="N27" s="157">
        <f t="shared" si="8"/>
        <v>1117.229055195201</v>
      </c>
      <c r="O27" s="105">
        <v>0</v>
      </c>
      <c r="P27" s="105">
        <v>0</v>
      </c>
      <c r="Q27" s="105">
        <v>0</v>
      </c>
      <c r="R27" s="157">
        <f t="shared" si="9"/>
        <v>1117.229055195201</v>
      </c>
    </row>
    <row r="28" spans="1:18" x14ac:dyDescent="0.2">
      <c r="A28" s="86">
        <v>9</v>
      </c>
      <c r="B28" s="151">
        <f t="shared" si="4"/>
        <v>45901</v>
      </c>
      <c r="C28" s="185">
        <v>45933</v>
      </c>
      <c r="D28" s="185">
        <v>45954</v>
      </c>
      <c r="E28" s="1" t="s">
        <v>21</v>
      </c>
      <c r="F28" s="86">
        <v>9</v>
      </c>
      <c r="G28" s="153">
        <v>3657</v>
      </c>
      <c r="H28" s="154">
        <f t="shared" si="5"/>
        <v>4.6134187490356018</v>
      </c>
      <c r="I28" s="154">
        <f t="shared" si="1"/>
        <v>4.8679546082756167</v>
      </c>
      <c r="J28" s="105">
        <f t="shared" si="2"/>
        <v>17802.110002463931</v>
      </c>
      <c r="K28" s="155">
        <f t="shared" si="6"/>
        <v>16871.272365223194</v>
      </c>
      <c r="L28" s="156">
        <f t="shared" si="3"/>
        <v>930.83763724073651</v>
      </c>
      <c r="M28" s="105">
        <f t="shared" si="7"/>
        <v>66.649339040723135</v>
      </c>
      <c r="N28" s="157">
        <f t="shared" si="8"/>
        <v>997.48697628145965</v>
      </c>
      <c r="O28" s="105">
        <v>0</v>
      </c>
      <c r="P28" s="105">
        <v>0</v>
      </c>
      <c r="Q28" s="105">
        <v>0</v>
      </c>
      <c r="R28" s="157">
        <f t="shared" si="9"/>
        <v>997.48697628145965</v>
      </c>
    </row>
    <row r="29" spans="1:18" x14ac:dyDescent="0.2">
      <c r="A29" s="86">
        <v>10</v>
      </c>
      <c r="B29" s="151">
        <f t="shared" si="4"/>
        <v>45931</v>
      </c>
      <c r="C29" s="185">
        <v>45966</v>
      </c>
      <c r="D29" s="185">
        <v>45985</v>
      </c>
      <c r="E29" s="1" t="s">
        <v>21</v>
      </c>
      <c r="F29" s="86">
        <v>9</v>
      </c>
      <c r="G29" s="153">
        <v>3261</v>
      </c>
      <c r="H29" s="154">
        <f t="shared" si="5"/>
        <v>4.6134187490356018</v>
      </c>
      <c r="I29" s="154">
        <f t="shared" si="1"/>
        <v>4.8679546082756167</v>
      </c>
      <c r="J29" s="105">
        <f t="shared" si="2"/>
        <v>15874.399977586785</v>
      </c>
      <c r="K29" s="155">
        <f t="shared" si="6"/>
        <v>15044.358540605097</v>
      </c>
      <c r="L29" s="156">
        <f t="shared" si="3"/>
        <v>830.04143698168809</v>
      </c>
      <c r="M29" s="105">
        <f t="shared" si="7"/>
        <v>59.432183377576735</v>
      </c>
      <c r="N29" s="157">
        <f t="shared" si="8"/>
        <v>889.47362035926483</v>
      </c>
      <c r="O29" s="105">
        <v>0</v>
      </c>
      <c r="P29" s="105">
        <v>0</v>
      </c>
      <c r="Q29" s="105">
        <v>0</v>
      </c>
      <c r="R29" s="157">
        <f t="shared" si="9"/>
        <v>889.47362035926483</v>
      </c>
    </row>
    <row r="30" spans="1:18" x14ac:dyDescent="0.2">
      <c r="A30" s="86">
        <v>11</v>
      </c>
      <c r="B30" s="151">
        <f t="shared" si="4"/>
        <v>45962</v>
      </c>
      <c r="C30" s="185">
        <v>45994</v>
      </c>
      <c r="D30" s="185">
        <v>46015</v>
      </c>
      <c r="E30" s="1" t="s">
        <v>21</v>
      </c>
      <c r="F30" s="86">
        <v>9</v>
      </c>
      <c r="G30" s="153">
        <v>2449</v>
      </c>
      <c r="H30" s="154">
        <f t="shared" si="5"/>
        <v>4.6134187490356018</v>
      </c>
      <c r="I30" s="154">
        <f t="shared" si="1"/>
        <v>4.8679546082756167</v>
      </c>
      <c r="J30" s="105">
        <f t="shared" si="2"/>
        <v>11921.620835666985</v>
      </c>
      <c r="K30" s="155">
        <f t="shared" si="6"/>
        <v>11298.262516388189</v>
      </c>
      <c r="L30" s="156">
        <f t="shared" si="3"/>
        <v>623.35831927879553</v>
      </c>
      <c r="M30" s="105">
        <f t="shared" si="7"/>
        <v>44.633369240013934</v>
      </c>
      <c r="N30" s="157">
        <f t="shared" si="8"/>
        <v>667.9916885188095</v>
      </c>
      <c r="O30" s="105">
        <v>0</v>
      </c>
      <c r="P30" s="105">
        <v>0</v>
      </c>
      <c r="Q30" s="105">
        <v>0</v>
      </c>
      <c r="R30" s="157">
        <f t="shared" si="9"/>
        <v>667.9916885188095</v>
      </c>
    </row>
    <row r="31" spans="1:18" x14ac:dyDescent="0.2">
      <c r="A31" s="86">
        <v>12</v>
      </c>
      <c r="B31" s="151">
        <f t="shared" si="4"/>
        <v>45992</v>
      </c>
      <c r="C31" s="186">
        <v>46028</v>
      </c>
      <c r="D31" s="187">
        <v>46048</v>
      </c>
      <c r="E31" s="1" t="s">
        <v>21</v>
      </c>
      <c r="F31" s="86">
        <v>9</v>
      </c>
      <c r="G31" s="190">
        <v>2817</v>
      </c>
      <c r="H31" s="159">
        <f t="shared" si="5"/>
        <v>4.6134187490356018</v>
      </c>
      <c r="I31" s="159">
        <f t="shared" si="1"/>
        <v>4.8679546082756167</v>
      </c>
      <c r="J31" s="160">
        <f t="shared" si="2"/>
        <v>13713.028131512412</v>
      </c>
      <c r="K31" s="161">
        <f t="shared" si="6"/>
        <v>12996.00061603329</v>
      </c>
      <c r="L31" s="162">
        <f t="shared" si="3"/>
        <v>717.02751547912158</v>
      </c>
      <c r="M31" s="160">
        <f t="shared" si="7"/>
        <v>51.340220967382294</v>
      </c>
      <c r="N31" s="191">
        <f t="shared" si="8"/>
        <v>768.36773644650384</v>
      </c>
      <c r="O31" s="160">
        <v>0</v>
      </c>
      <c r="P31" s="160">
        <v>0</v>
      </c>
      <c r="Q31" s="160">
        <v>0</v>
      </c>
      <c r="R31" s="191">
        <f t="shared" si="9"/>
        <v>768.36773644650384</v>
      </c>
    </row>
    <row r="32" spans="1:18" x14ac:dyDescent="0.2">
      <c r="A32" s="86">
        <v>1</v>
      </c>
      <c r="B32" s="163">
        <f t="shared" si="4"/>
        <v>45658</v>
      </c>
      <c r="C32" s="164">
        <f t="shared" ref="C32:D43" si="10">+C20</f>
        <v>45693</v>
      </c>
      <c r="D32" s="164">
        <f t="shared" si="10"/>
        <v>45712</v>
      </c>
      <c r="E32" s="165" t="s">
        <v>22</v>
      </c>
      <c r="F32" s="166">
        <v>9</v>
      </c>
      <c r="G32" s="153">
        <v>3414</v>
      </c>
      <c r="H32" s="154">
        <f t="shared" si="5"/>
        <v>4.6134187490356018</v>
      </c>
      <c r="I32" s="154">
        <f t="shared" si="1"/>
        <v>4.8679546082756167</v>
      </c>
      <c r="J32" s="105">
        <f t="shared" si="2"/>
        <v>16619.197032652955</v>
      </c>
      <c r="K32" s="155">
        <f t="shared" si="6"/>
        <v>15750.211609207545</v>
      </c>
      <c r="L32" s="156">
        <f t="shared" si="3"/>
        <v>868.98542344541056</v>
      </c>
      <c r="M32" s="105">
        <f t="shared" si="7"/>
        <v>62.220629883792398</v>
      </c>
      <c r="N32" s="157">
        <f t="shared" si="8"/>
        <v>931.20605332920297</v>
      </c>
      <c r="O32" s="105">
        <v>0</v>
      </c>
      <c r="P32" s="105">
        <v>0</v>
      </c>
      <c r="Q32" s="105">
        <v>0</v>
      </c>
      <c r="R32" s="157">
        <f t="shared" si="9"/>
        <v>931.20605332920297</v>
      </c>
    </row>
    <row r="33" spans="1:18" x14ac:dyDescent="0.2">
      <c r="A33" s="86">
        <v>2</v>
      </c>
      <c r="B33" s="151">
        <f t="shared" si="4"/>
        <v>45689</v>
      </c>
      <c r="C33" s="167">
        <f t="shared" si="10"/>
        <v>45721</v>
      </c>
      <c r="D33" s="167">
        <f t="shared" si="10"/>
        <v>45740</v>
      </c>
      <c r="E33" s="158" t="s">
        <v>22</v>
      </c>
      <c r="F33" s="86">
        <v>9</v>
      </c>
      <c r="G33" s="153">
        <v>3330</v>
      </c>
      <c r="H33" s="154">
        <f t="shared" si="5"/>
        <v>4.6134187490356018</v>
      </c>
      <c r="I33" s="154">
        <f t="shared" si="1"/>
        <v>4.8679546082756167</v>
      </c>
      <c r="J33" s="105">
        <f t="shared" si="2"/>
        <v>16210.288845557803</v>
      </c>
      <c r="K33" s="155">
        <f t="shared" si="6"/>
        <v>15362.684434288554</v>
      </c>
      <c r="L33" s="156">
        <f t="shared" si="3"/>
        <v>847.60441126924889</v>
      </c>
      <c r="M33" s="105">
        <f t="shared" si="7"/>
        <v>60.689718076458306</v>
      </c>
      <c r="N33" s="157">
        <f t="shared" si="8"/>
        <v>908.29412934570723</v>
      </c>
      <c r="O33" s="105">
        <v>0</v>
      </c>
      <c r="P33" s="105">
        <v>0</v>
      </c>
      <c r="Q33" s="105">
        <v>0</v>
      </c>
      <c r="R33" s="157">
        <f t="shared" si="9"/>
        <v>908.29412934570723</v>
      </c>
    </row>
    <row r="34" spans="1:18" x14ac:dyDescent="0.2">
      <c r="A34" s="86">
        <v>3</v>
      </c>
      <c r="B34" s="151">
        <f t="shared" si="4"/>
        <v>45717</v>
      </c>
      <c r="C34" s="167">
        <f t="shared" si="10"/>
        <v>45750</v>
      </c>
      <c r="D34" s="167">
        <f t="shared" si="10"/>
        <v>45771</v>
      </c>
      <c r="E34" s="158" t="s">
        <v>22</v>
      </c>
      <c r="F34" s="86">
        <v>9</v>
      </c>
      <c r="G34" s="153">
        <v>2483</v>
      </c>
      <c r="H34" s="154">
        <f t="shared" si="5"/>
        <v>4.6134187490356018</v>
      </c>
      <c r="I34" s="154">
        <f t="shared" si="1"/>
        <v>4.8679546082756167</v>
      </c>
      <c r="J34" s="105">
        <f t="shared" si="2"/>
        <v>12087.131292348357</v>
      </c>
      <c r="K34" s="155">
        <f t="shared" ref="K34:K93" si="11">+$G34*H34</f>
        <v>11455.118753855399</v>
      </c>
      <c r="L34" s="156">
        <f t="shared" si="3"/>
        <v>632.0125384929579</v>
      </c>
      <c r="M34" s="105">
        <f t="shared" si="7"/>
        <v>45.253024019172962</v>
      </c>
      <c r="N34" s="157">
        <f t="shared" si="8"/>
        <v>677.26556251213083</v>
      </c>
      <c r="O34" s="105">
        <v>0</v>
      </c>
      <c r="P34" s="105">
        <v>0</v>
      </c>
      <c r="Q34" s="105">
        <v>0</v>
      </c>
      <c r="R34" s="157">
        <f t="shared" si="9"/>
        <v>677.26556251213083</v>
      </c>
    </row>
    <row r="35" spans="1:18" x14ac:dyDescent="0.2">
      <c r="A35" s="86">
        <v>4</v>
      </c>
      <c r="B35" s="151">
        <f t="shared" si="4"/>
        <v>45748</v>
      </c>
      <c r="C35" s="167">
        <f t="shared" si="10"/>
        <v>45782</v>
      </c>
      <c r="D35" s="167">
        <f t="shared" si="10"/>
        <v>45803</v>
      </c>
      <c r="E35" s="158" t="s">
        <v>22</v>
      </c>
      <c r="F35" s="86">
        <v>9</v>
      </c>
      <c r="G35" s="153">
        <v>2549</v>
      </c>
      <c r="H35" s="154">
        <f t="shared" si="5"/>
        <v>4.6134187490356018</v>
      </c>
      <c r="I35" s="154">
        <f t="shared" si="1"/>
        <v>4.8679546082756167</v>
      </c>
      <c r="J35" s="105">
        <f t="shared" si="2"/>
        <v>12408.416296494546</v>
      </c>
      <c r="K35" s="155">
        <f t="shared" si="11"/>
        <v>11759.604391291748</v>
      </c>
      <c r="L35" s="156">
        <f t="shared" ref="L35:L57" si="12">+J35-K35</f>
        <v>648.81190520279779</v>
      </c>
      <c r="M35" s="105">
        <f t="shared" si="7"/>
        <v>46.455883296364028</v>
      </c>
      <c r="N35" s="157">
        <f t="shared" si="8"/>
        <v>695.26778849916184</v>
      </c>
      <c r="O35" s="105">
        <v>0</v>
      </c>
      <c r="P35" s="105">
        <v>0</v>
      </c>
      <c r="Q35" s="105">
        <v>0</v>
      </c>
      <c r="R35" s="157">
        <f t="shared" si="9"/>
        <v>695.26778849916184</v>
      </c>
    </row>
    <row r="36" spans="1:18" x14ac:dyDescent="0.2">
      <c r="A36" s="86">
        <v>5</v>
      </c>
      <c r="B36" s="151">
        <f t="shared" si="4"/>
        <v>45778</v>
      </c>
      <c r="C36" s="167">
        <f t="shared" si="10"/>
        <v>45812</v>
      </c>
      <c r="D36" s="167">
        <f t="shared" si="10"/>
        <v>45832</v>
      </c>
      <c r="E36" s="1" t="s">
        <v>22</v>
      </c>
      <c r="F36" s="86">
        <v>9</v>
      </c>
      <c r="G36" s="153">
        <v>3007</v>
      </c>
      <c r="H36" s="154">
        <f t="shared" si="5"/>
        <v>4.6134187490356018</v>
      </c>
      <c r="I36" s="154">
        <f t="shared" si="1"/>
        <v>4.8679546082756167</v>
      </c>
      <c r="J36" s="105">
        <f t="shared" si="2"/>
        <v>14637.939507084779</v>
      </c>
      <c r="K36" s="155">
        <f t="shared" si="11"/>
        <v>13872.550178350055</v>
      </c>
      <c r="L36" s="156">
        <f t="shared" si="12"/>
        <v>765.38932873472368</v>
      </c>
      <c r="M36" s="105">
        <f t="shared" si="7"/>
        <v>54.802997674447482</v>
      </c>
      <c r="N36" s="157">
        <f t="shared" si="8"/>
        <v>820.19232640917119</v>
      </c>
      <c r="O36" s="105">
        <v>0</v>
      </c>
      <c r="P36" s="105">
        <v>0</v>
      </c>
      <c r="Q36" s="105">
        <v>0</v>
      </c>
      <c r="R36" s="157">
        <f t="shared" si="9"/>
        <v>820.19232640917119</v>
      </c>
    </row>
    <row r="37" spans="1:18" x14ac:dyDescent="0.2">
      <c r="A37" s="86">
        <v>6</v>
      </c>
      <c r="B37" s="151">
        <f t="shared" si="4"/>
        <v>45809</v>
      </c>
      <c r="C37" s="167">
        <f t="shared" si="10"/>
        <v>45841</v>
      </c>
      <c r="D37" s="167">
        <f t="shared" si="10"/>
        <v>45862</v>
      </c>
      <c r="E37" s="1" t="s">
        <v>22</v>
      </c>
      <c r="F37" s="86">
        <v>9</v>
      </c>
      <c r="G37" s="153">
        <v>3377</v>
      </c>
      <c r="H37" s="154">
        <f t="shared" si="5"/>
        <v>4.6134187490356018</v>
      </c>
      <c r="I37" s="154">
        <f t="shared" si="1"/>
        <v>4.8679546082756167</v>
      </c>
      <c r="J37" s="105">
        <f t="shared" si="2"/>
        <v>16439.082712146759</v>
      </c>
      <c r="K37" s="155">
        <f t="shared" si="11"/>
        <v>15579.515115493226</v>
      </c>
      <c r="L37" s="156">
        <f t="shared" si="12"/>
        <v>859.56759665353275</v>
      </c>
      <c r="M37" s="105">
        <f t="shared" si="7"/>
        <v>61.546299682942852</v>
      </c>
      <c r="N37" s="157">
        <f t="shared" si="8"/>
        <v>921.11389633647559</v>
      </c>
      <c r="O37" s="105">
        <v>0</v>
      </c>
      <c r="P37" s="105">
        <v>0</v>
      </c>
      <c r="Q37" s="105">
        <v>0</v>
      </c>
      <c r="R37" s="157">
        <f t="shared" si="9"/>
        <v>921.11389633647559</v>
      </c>
    </row>
    <row r="38" spans="1:18" x14ac:dyDescent="0.2">
      <c r="A38" s="86">
        <v>7</v>
      </c>
      <c r="B38" s="151">
        <f t="shared" si="4"/>
        <v>45839</v>
      </c>
      <c r="C38" s="167">
        <f t="shared" si="10"/>
        <v>45874</v>
      </c>
      <c r="D38" s="167">
        <f t="shared" si="10"/>
        <v>45894</v>
      </c>
      <c r="E38" s="1" t="s">
        <v>22</v>
      </c>
      <c r="F38" s="86">
        <v>9</v>
      </c>
      <c r="G38" s="153">
        <v>3723</v>
      </c>
      <c r="H38" s="154">
        <f t="shared" si="5"/>
        <v>4.6134187490356018</v>
      </c>
      <c r="I38" s="154">
        <f t="shared" si="1"/>
        <v>4.8679546082756167</v>
      </c>
      <c r="J38" s="105">
        <f t="shared" si="2"/>
        <v>18123.395006610121</v>
      </c>
      <c r="K38" s="155">
        <f t="shared" si="11"/>
        <v>17175.758002659546</v>
      </c>
      <c r="L38" s="156">
        <f t="shared" si="12"/>
        <v>947.63700395057458</v>
      </c>
      <c r="M38" s="105">
        <f t="shared" si="7"/>
        <v>67.852198317914201</v>
      </c>
      <c r="N38" s="157">
        <f t="shared" si="8"/>
        <v>1015.4892022684887</v>
      </c>
      <c r="O38" s="105">
        <v>0</v>
      </c>
      <c r="P38" s="105">
        <v>0</v>
      </c>
      <c r="Q38" s="105">
        <v>0</v>
      </c>
      <c r="R38" s="157">
        <f t="shared" si="9"/>
        <v>1015.4892022684887</v>
      </c>
    </row>
    <row r="39" spans="1:18" x14ac:dyDescent="0.2">
      <c r="A39" s="86">
        <v>8</v>
      </c>
      <c r="B39" s="151">
        <f t="shared" si="4"/>
        <v>45870</v>
      </c>
      <c r="C39" s="167">
        <f t="shared" si="10"/>
        <v>45904</v>
      </c>
      <c r="D39" s="167">
        <f t="shared" si="10"/>
        <v>45924</v>
      </c>
      <c r="E39" s="1" t="s">
        <v>22</v>
      </c>
      <c r="F39" s="86">
        <v>9</v>
      </c>
      <c r="G39" s="153">
        <v>3715</v>
      </c>
      <c r="H39" s="154">
        <f t="shared" si="5"/>
        <v>4.6134187490356018</v>
      </c>
      <c r="I39" s="154">
        <f t="shared" si="1"/>
        <v>4.8679546082756167</v>
      </c>
      <c r="J39" s="105">
        <f t="shared" si="2"/>
        <v>18084.451369743914</v>
      </c>
      <c r="K39" s="155">
        <f t="shared" si="11"/>
        <v>17138.850652667261</v>
      </c>
      <c r="L39" s="156">
        <f t="shared" si="12"/>
        <v>945.60071707665338</v>
      </c>
      <c r="M39" s="105">
        <f t="shared" si="7"/>
        <v>67.70639719340619</v>
      </c>
      <c r="N39" s="157">
        <f t="shared" si="8"/>
        <v>1013.3071142700596</v>
      </c>
      <c r="O39" s="105">
        <v>0</v>
      </c>
      <c r="P39" s="105">
        <v>0</v>
      </c>
      <c r="Q39" s="105">
        <v>0</v>
      </c>
      <c r="R39" s="157">
        <f t="shared" si="9"/>
        <v>1013.3071142700596</v>
      </c>
    </row>
    <row r="40" spans="1:18" x14ac:dyDescent="0.2">
      <c r="A40" s="86">
        <v>9</v>
      </c>
      <c r="B40" s="151">
        <f t="shared" si="4"/>
        <v>45901</v>
      </c>
      <c r="C40" s="167">
        <f t="shared" si="10"/>
        <v>45933</v>
      </c>
      <c r="D40" s="167">
        <f t="shared" si="10"/>
        <v>45954</v>
      </c>
      <c r="E40" s="1" t="s">
        <v>22</v>
      </c>
      <c r="F40" s="86">
        <v>9</v>
      </c>
      <c r="G40" s="153">
        <v>3256</v>
      </c>
      <c r="H40" s="154">
        <f t="shared" si="5"/>
        <v>4.6134187490356018</v>
      </c>
      <c r="I40" s="154">
        <f t="shared" si="1"/>
        <v>4.8679546082756167</v>
      </c>
      <c r="J40" s="105">
        <f t="shared" si="2"/>
        <v>15850.060204545407</v>
      </c>
      <c r="K40" s="155">
        <f t="shared" si="11"/>
        <v>15021.291446859919</v>
      </c>
      <c r="L40" s="156">
        <f t="shared" si="12"/>
        <v>828.7687576854878</v>
      </c>
      <c r="M40" s="105">
        <f t="shared" si="7"/>
        <v>59.341057674759234</v>
      </c>
      <c r="N40" s="157">
        <f t="shared" si="8"/>
        <v>888.10981536024701</v>
      </c>
      <c r="O40" s="105">
        <v>0</v>
      </c>
      <c r="P40" s="105">
        <v>0</v>
      </c>
      <c r="Q40" s="105">
        <v>0</v>
      </c>
      <c r="R40" s="157">
        <f t="shared" si="9"/>
        <v>888.10981536024701</v>
      </c>
    </row>
    <row r="41" spans="1:18" x14ac:dyDescent="0.2">
      <c r="A41" s="86">
        <v>10</v>
      </c>
      <c r="B41" s="151">
        <f t="shared" si="4"/>
        <v>45931</v>
      </c>
      <c r="C41" s="167">
        <f t="shared" si="10"/>
        <v>45966</v>
      </c>
      <c r="D41" s="167">
        <f t="shared" si="10"/>
        <v>45985</v>
      </c>
      <c r="E41" s="1" t="s">
        <v>22</v>
      </c>
      <c r="F41" s="86">
        <v>9</v>
      </c>
      <c r="G41" s="153">
        <v>3014</v>
      </c>
      <c r="H41" s="154">
        <f t="shared" si="5"/>
        <v>4.6134187490356018</v>
      </c>
      <c r="I41" s="154">
        <f t="shared" si="1"/>
        <v>4.8679546082756167</v>
      </c>
      <c r="J41" s="105">
        <f t="shared" si="2"/>
        <v>14672.015189342708</v>
      </c>
      <c r="K41" s="155">
        <f t="shared" si="11"/>
        <v>13904.844109593303</v>
      </c>
      <c r="L41" s="156">
        <f t="shared" si="12"/>
        <v>767.17107974940518</v>
      </c>
      <c r="M41" s="105">
        <f t="shared" si="7"/>
        <v>54.930573658391992</v>
      </c>
      <c r="N41" s="157">
        <f t="shared" si="8"/>
        <v>822.10165340779713</v>
      </c>
      <c r="O41" s="105">
        <v>0</v>
      </c>
      <c r="P41" s="105">
        <v>0</v>
      </c>
      <c r="Q41" s="105">
        <v>0</v>
      </c>
      <c r="R41" s="157">
        <f t="shared" si="9"/>
        <v>822.10165340779713</v>
      </c>
    </row>
    <row r="42" spans="1:18" x14ac:dyDescent="0.2">
      <c r="A42" s="86">
        <v>11</v>
      </c>
      <c r="B42" s="151">
        <f t="shared" si="4"/>
        <v>45962</v>
      </c>
      <c r="C42" s="167">
        <f t="shared" si="10"/>
        <v>45994</v>
      </c>
      <c r="D42" s="167">
        <f t="shared" si="10"/>
        <v>46015</v>
      </c>
      <c r="E42" s="1" t="s">
        <v>22</v>
      </c>
      <c r="F42" s="86">
        <v>9</v>
      </c>
      <c r="G42" s="153">
        <v>2338</v>
      </c>
      <c r="H42" s="154">
        <f t="shared" si="5"/>
        <v>4.6134187490356018</v>
      </c>
      <c r="I42" s="154">
        <f t="shared" si="1"/>
        <v>4.8679546082756167</v>
      </c>
      <c r="J42" s="105">
        <f t="shared" si="2"/>
        <v>11381.277874148393</v>
      </c>
      <c r="K42" s="155">
        <f t="shared" si="11"/>
        <v>10786.173035245238</v>
      </c>
      <c r="L42" s="156">
        <f t="shared" si="12"/>
        <v>595.10483890315481</v>
      </c>
      <c r="M42" s="105">
        <f t="shared" si="7"/>
        <v>42.610378637465324</v>
      </c>
      <c r="N42" s="157">
        <f t="shared" si="8"/>
        <v>637.71521754062019</v>
      </c>
      <c r="O42" s="105">
        <v>0</v>
      </c>
      <c r="P42" s="105">
        <v>0</v>
      </c>
      <c r="Q42" s="105">
        <v>0</v>
      </c>
      <c r="R42" s="157">
        <f t="shared" si="9"/>
        <v>637.71521754062019</v>
      </c>
    </row>
    <row r="43" spans="1:18" x14ac:dyDescent="0.2">
      <c r="A43" s="86">
        <v>12</v>
      </c>
      <c r="B43" s="151">
        <f t="shared" si="4"/>
        <v>45992</v>
      </c>
      <c r="C43" s="167">
        <f t="shared" si="10"/>
        <v>46028</v>
      </c>
      <c r="D43" s="167">
        <f t="shared" si="10"/>
        <v>46048</v>
      </c>
      <c r="E43" s="1" t="s">
        <v>22</v>
      </c>
      <c r="F43" s="86">
        <v>9</v>
      </c>
      <c r="G43" s="190">
        <v>2969</v>
      </c>
      <c r="H43" s="192">
        <f t="shared" si="5"/>
        <v>4.6134187490356018</v>
      </c>
      <c r="I43" s="192">
        <f t="shared" si="1"/>
        <v>4.8679546082756167</v>
      </c>
      <c r="J43" s="160">
        <f t="shared" si="2"/>
        <v>14452.957231970306</v>
      </c>
      <c r="K43" s="162">
        <f t="shared" si="11"/>
        <v>13697.240265886701</v>
      </c>
      <c r="L43" s="162">
        <f t="shared" si="12"/>
        <v>755.71696608360435</v>
      </c>
      <c r="M43" s="160">
        <f t="shared" si="7"/>
        <v>54.110442333034449</v>
      </c>
      <c r="N43" s="193">
        <f t="shared" si="8"/>
        <v>809.82740841663883</v>
      </c>
      <c r="O43" s="160">
        <v>0</v>
      </c>
      <c r="P43" s="160">
        <v>0</v>
      </c>
      <c r="Q43" s="160">
        <v>0</v>
      </c>
      <c r="R43" s="193">
        <f t="shared" si="9"/>
        <v>809.82740841663883</v>
      </c>
    </row>
    <row r="44" spans="1:18" x14ac:dyDescent="0.2">
      <c r="A44" s="86">
        <v>1</v>
      </c>
      <c r="B44" s="163">
        <f t="shared" ref="B44:B55" si="13">DATE($R$1,A44,1)</f>
        <v>45658</v>
      </c>
      <c r="C44" s="164">
        <f t="shared" ref="C44:D55" si="14">+C32</f>
        <v>45693</v>
      </c>
      <c r="D44" s="164">
        <f t="shared" si="14"/>
        <v>45712</v>
      </c>
      <c r="E44" s="165" t="s">
        <v>80</v>
      </c>
      <c r="F44" s="166">
        <v>9</v>
      </c>
      <c r="G44" s="153">
        <v>211</v>
      </c>
      <c r="H44" s="154">
        <f t="shared" si="5"/>
        <v>4.6134187490356018</v>
      </c>
      <c r="I44" s="154">
        <f t="shared" si="1"/>
        <v>4.8679546082756167</v>
      </c>
      <c r="J44" s="105">
        <f t="shared" ref="J44:J55" si="15">+$G44*I44</f>
        <v>1027.138422346155</v>
      </c>
      <c r="K44" s="155">
        <f t="shared" ref="K44:K55" si="16">+$G44*H44</f>
        <v>973.43135604651195</v>
      </c>
      <c r="L44" s="156">
        <f t="shared" ref="L44:L55" si="17">+J44-K44</f>
        <v>53.707066299643088</v>
      </c>
      <c r="M44" s="105">
        <f t="shared" si="7"/>
        <v>3.8455046588987098</v>
      </c>
      <c r="N44" s="157">
        <f t="shared" si="8"/>
        <v>57.5525709585418</v>
      </c>
      <c r="O44" s="105">
        <v>0</v>
      </c>
      <c r="P44" s="105">
        <v>0</v>
      </c>
      <c r="Q44" s="105">
        <v>0</v>
      </c>
      <c r="R44" s="157">
        <f t="shared" si="9"/>
        <v>57.5525709585418</v>
      </c>
    </row>
    <row r="45" spans="1:18" x14ac:dyDescent="0.2">
      <c r="A45" s="86">
        <v>2</v>
      </c>
      <c r="B45" s="151">
        <f t="shared" si="13"/>
        <v>45689</v>
      </c>
      <c r="C45" s="167">
        <f t="shared" si="14"/>
        <v>45721</v>
      </c>
      <c r="D45" s="167">
        <f t="shared" si="14"/>
        <v>45740</v>
      </c>
      <c r="E45" s="158" t="s">
        <v>80</v>
      </c>
      <c r="F45" s="86">
        <v>9</v>
      </c>
      <c r="G45" s="153">
        <v>200</v>
      </c>
      <c r="H45" s="154">
        <f t="shared" si="5"/>
        <v>4.6134187490356018</v>
      </c>
      <c r="I45" s="154">
        <f t="shared" si="1"/>
        <v>4.8679546082756167</v>
      </c>
      <c r="J45" s="105">
        <f t="shared" si="15"/>
        <v>973.59092165512334</v>
      </c>
      <c r="K45" s="155">
        <f t="shared" si="16"/>
        <v>922.68374980712031</v>
      </c>
      <c r="L45" s="156">
        <f t="shared" si="17"/>
        <v>50.907171848003031</v>
      </c>
      <c r="M45" s="105">
        <f t="shared" si="7"/>
        <v>3.6450281127001989</v>
      </c>
      <c r="N45" s="157">
        <f t="shared" si="8"/>
        <v>54.552199960703227</v>
      </c>
      <c r="O45" s="105">
        <v>0</v>
      </c>
      <c r="P45" s="105">
        <v>0</v>
      </c>
      <c r="Q45" s="105">
        <v>0</v>
      </c>
      <c r="R45" s="157">
        <f t="shared" si="9"/>
        <v>54.552199960703227</v>
      </c>
    </row>
    <row r="46" spans="1:18" x14ac:dyDescent="0.2">
      <c r="A46" s="86">
        <v>3</v>
      </c>
      <c r="B46" s="151">
        <f t="shared" si="13"/>
        <v>45717</v>
      </c>
      <c r="C46" s="167">
        <f t="shared" si="14"/>
        <v>45750</v>
      </c>
      <c r="D46" s="167">
        <f t="shared" si="14"/>
        <v>45771</v>
      </c>
      <c r="E46" s="158" t="s">
        <v>80</v>
      </c>
      <c r="F46" s="86">
        <v>9</v>
      </c>
      <c r="G46" s="153">
        <v>122</v>
      </c>
      <c r="H46" s="154">
        <f t="shared" si="5"/>
        <v>4.6134187490356018</v>
      </c>
      <c r="I46" s="154">
        <f t="shared" si="1"/>
        <v>4.8679546082756167</v>
      </c>
      <c r="J46" s="105">
        <f t="shared" si="15"/>
        <v>593.89046220962518</v>
      </c>
      <c r="K46" s="155">
        <f t="shared" si="16"/>
        <v>562.83708738234338</v>
      </c>
      <c r="L46" s="156">
        <f t="shared" si="17"/>
        <v>31.0533748272818</v>
      </c>
      <c r="M46" s="105">
        <f t="shared" si="7"/>
        <v>2.2234671487471211</v>
      </c>
      <c r="N46" s="157">
        <f t="shared" si="8"/>
        <v>33.276841976028919</v>
      </c>
      <c r="O46" s="105">
        <v>0</v>
      </c>
      <c r="P46" s="105">
        <v>0</v>
      </c>
      <c r="Q46" s="105">
        <v>0</v>
      </c>
      <c r="R46" s="157">
        <f t="shared" si="9"/>
        <v>33.276841976028919</v>
      </c>
    </row>
    <row r="47" spans="1:18" x14ac:dyDescent="0.2">
      <c r="A47" s="86">
        <v>4</v>
      </c>
      <c r="B47" s="151">
        <f t="shared" si="13"/>
        <v>45748</v>
      </c>
      <c r="C47" s="167">
        <f t="shared" si="14"/>
        <v>45782</v>
      </c>
      <c r="D47" s="167">
        <f t="shared" si="14"/>
        <v>45803</v>
      </c>
      <c r="E47" s="158" t="s">
        <v>80</v>
      </c>
      <c r="F47" s="86">
        <v>9</v>
      </c>
      <c r="G47" s="153">
        <v>109</v>
      </c>
      <c r="H47" s="154">
        <f t="shared" si="5"/>
        <v>4.6134187490356018</v>
      </c>
      <c r="I47" s="154">
        <f t="shared" si="1"/>
        <v>4.8679546082756167</v>
      </c>
      <c r="J47" s="105">
        <f t="shared" si="15"/>
        <v>530.60705230204223</v>
      </c>
      <c r="K47" s="155">
        <f t="shared" si="16"/>
        <v>502.86264364488062</v>
      </c>
      <c r="L47" s="156">
        <f t="shared" si="17"/>
        <v>27.744408657161614</v>
      </c>
      <c r="M47" s="105">
        <f t="shared" si="7"/>
        <v>1.9865403214216084</v>
      </c>
      <c r="N47" s="157">
        <f t="shared" si="8"/>
        <v>29.730948978583221</v>
      </c>
      <c r="O47" s="105">
        <v>0</v>
      </c>
      <c r="P47" s="105">
        <v>0</v>
      </c>
      <c r="Q47" s="105">
        <v>0</v>
      </c>
      <c r="R47" s="157">
        <f t="shared" si="9"/>
        <v>29.730948978583221</v>
      </c>
    </row>
    <row r="48" spans="1:18" x14ac:dyDescent="0.2">
      <c r="A48" s="86">
        <v>5</v>
      </c>
      <c r="B48" s="151">
        <f t="shared" si="13"/>
        <v>45778</v>
      </c>
      <c r="C48" s="167">
        <f t="shared" si="14"/>
        <v>45812</v>
      </c>
      <c r="D48" s="167">
        <f t="shared" si="14"/>
        <v>45832</v>
      </c>
      <c r="E48" s="158" t="s">
        <v>80</v>
      </c>
      <c r="F48" s="86">
        <v>9</v>
      </c>
      <c r="G48" s="153">
        <v>102</v>
      </c>
      <c r="H48" s="154">
        <f t="shared" si="5"/>
        <v>4.6134187490356018</v>
      </c>
      <c r="I48" s="154">
        <f t="shared" si="1"/>
        <v>4.8679546082756167</v>
      </c>
      <c r="J48" s="105">
        <f t="shared" si="15"/>
        <v>496.53137004411292</v>
      </c>
      <c r="K48" s="155">
        <f t="shared" si="16"/>
        <v>470.56871240163139</v>
      </c>
      <c r="L48" s="156">
        <f t="shared" si="17"/>
        <v>25.962657642481531</v>
      </c>
      <c r="M48" s="105">
        <f t="shared" si="7"/>
        <v>1.8589643374771012</v>
      </c>
      <c r="N48" s="157">
        <f t="shared" si="8"/>
        <v>27.821621979958632</v>
      </c>
      <c r="O48" s="105">
        <v>0</v>
      </c>
      <c r="P48" s="105">
        <v>0</v>
      </c>
      <c r="Q48" s="105">
        <v>0</v>
      </c>
      <c r="R48" s="157">
        <f t="shared" si="9"/>
        <v>27.821621979958632</v>
      </c>
    </row>
    <row r="49" spans="1:18" x14ac:dyDescent="0.2">
      <c r="A49" s="86">
        <v>6</v>
      </c>
      <c r="B49" s="151">
        <f t="shared" si="13"/>
        <v>45809</v>
      </c>
      <c r="C49" s="167">
        <f t="shared" si="14"/>
        <v>45841</v>
      </c>
      <c r="D49" s="167">
        <f t="shared" si="14"/>
        <v>45862</v>
      </c>
      <c r="E49" s="158" t="s">
        <v>80</v>
      </c>
      <c r="F49" s="86">
        <v>9</v>
      </c>
      <c r="G49" s="153">
        <v>131</v>
      </c>
      <c r="H49" s="154">
        <f t="shared" si="5"/>
        <v>4.6134187490356018</v>
      </c>
      <c r="I49" s="154">
        <f t="shared" si="1"/>
        <v>4.8679546082756167</v>
      </c>
      <c r="J49" s="105">
        <f t="shared" si="15"/>
        <v>637.70205368410575</v>
      </c>
      <c r="K49" s="155">
        <f t="shared" si="16"/>
        <v>604.35785612366385</v>
      </c>
      <c r="L49" s="156">
        <f t="shared" si="17"/>
        <v>33.344197560441899</v>
      </c>
      <c r="M49" s="105">
        <f t="shared" si="7"/>
        <v>2.3874934138186301</v>
      </c>
      <c r="N49" s="157">
        <f t="shared" si="8"/>
        <v>35.73169097426053</v>
      </c>
      <c r="O49" s="105">
        <v>0</v>
      </c>
      <c r="P49" s="105">
        <v>0</v>
      </c>
      <c r="Q49" s="105">
        <v>0</v>
      </c>
      <c r="R49" s="157">
        <f t="shared" si="9"/>
        <v>35.73169097426053</v>
      </c>
    </row>
    <row r="50" spans="1:18" x14ac:dyDescent="0.2">
      <c r="A50" s="86">
        <v>7</v>
      </c>
      <c r="B50" s="151">
        <f t="shared" si="13"/>
        <v>45839</v>
      </c>
      <c r="C50" s="167">
        <f t="shared" si="14"/>
        <v>45874</v>
      </c>
      <c r="D50" s="167">
        <f t="shared" si="14"/>
        <v>45894</v>
      </c>
      <c r="E50" s="158" t="s">
        <v>80</v>
      </c>
      <c r="F50" s="86">
        <v>9</v>
      </c>
      <c r="G50" s="153">
        <v>146</v>
      </c>
      <c r="H50" s="154">
        <f t="shared" si="5"/>
        <v>4.6134187490356018</v>
      </c>
      <c r="I50" s="154">
        <f t="shared" si="1"/>
        <v>4.8679546082756167</v>
      </c>
      <c r="J50" s="105">
        <f t="shared" si="15"/>
        <v>710.72137280824006</v>
      </c>
      <c r="K50" s="155">
        <f t="shared" si="16"/>
        <v>673.55913735919785</v>
      </c>
      <c r="L50" s="156">
        <f t="shared" si="17"/>
        <v>37.162235449042214</v>
      </c>
      <c r="M50" s="105">
        <f t="shared" si="7"/>
        <v>2.6608705222711446</v>
      </c>
      <c r="N50" s="157">
        <f t="shared" si="8"/>
        <v>39.82310597131336</v>
      </c>
      <c r="O50" s="105">
        <v>0</v>
      </c>
      <c r="P50" s="105">
        <v>0</v>
      </c>
      <c r="Q50" s="105">
        <v>0</v>
      </c>
      <c r="R50" s="157">
        <f t="shared" si="9"/>
        <v>39.82310597131336</v>
      </c>
    </row>
    <row r="51" spans="1:18" x14ac:dyDescent="0.2">
      <c r="A51" s="86">
        <v>8</v>
      </c>
      <c r="B51" s="151">
        <f t="shared" si="13"/>
        <v>45870</v>
      </c>
      <c r="C51" s="167">
        <f t="shared" si="14"/>
        <v>45904</v>
      </c>
      <c r="D51" s="167">
        <f t="shared" si="14"/>
        <v>45924</v>
      </c>
      <c r="E51" s="158" t="s">
        <v>80</v>
      </c>
      <c r="F51" s="86">
        <v>9</v>
      </c>
      <c r="G51" s="153">
        <v>149</v>
      </c>
      <c r="H51" s="154">
        <f t="shared" si="5"/>
        <v>4.6134187490356018</v>
      </c>
      <c r="I51" s="154">
        <f t="shared" si="1"/>
        <v>4.8679546082756167</v>
      </c>
      <c r="J51" s="105">
        <f t="shared" si="15"/>
        <v>725.32523663306688</v>
      </c>
      <c r="K51" s="155">
        <f t="shared" si="16"/>
        <v>687.39939360630467</v>
      </c>
      <c r="L51" s="156">
        <f t="shared" si="17"/>
        <v>37.925843026762209</v>
      </c>
      <c r="M51" s="105">
        <f t="shared" si="7"/>
        <v>2.7155459439616481</v>
      </c>
      <c r="N51" s="157">
        <f t="shared" si="8"/>
        <v>40.64138897072386</v>
      </c>
      <c r="O51" s="105">
        <v>0</v>
      </c>
      <c r="P51" s="105">
        <v>0</v>
      </c>
      <c r="Q51" s="105">
        <v>0</v>
      </c>
      <c r="R51" s="157">
        <f t="shared" si="9"/>
        <v>40.64138897072386</v>
      </c>
    </row>
    <row r="52" spans="1:18" x14ac:dyDescent="0.2">
      <c r="A52" s="86">
        <v>9</v>
      </c>
      <c r="B52" s="151">
        <f t="shared" si="13"/>
        <v>45901</v>
      </c>
      <c r="C52" s="167">
        <f t="shared" si="14"/>
        <v>45933</v>
      </c>
      <c r="D52" s="167">
        <f t="shared" si="14"/>
        <v>45954</v>
      </c>
      <c r="E52" s="158" t="s">
        <v>80</v>
      </c>
      <c r="F52" s="86">
        <v>9</v>
      </c>
      <c r="G52" s="153">
        <v>122</v>
      </c>
      <c r="H52" s="154">
        <f t="shared" si="5"/>
        <v>4.6134187490356018</v>
      </c>
      <c r="I52" s="154">
        <f t="shared" si="1"/>
        <v>4.8679546082756167</v>
      </c>
      <c r="J52" s="105">
        <f t="shared" si="15"/>
        <v>593.89046220962518</v>
      </c>
      <c r="K52" s="155">
        <f t="shared" si="16"/>
        <v>562.83708738234338</v>
      </c>
      <c r="L52" s="156">
        <f t="shared" si="17"/>
        <v>31.0533748272818</v>
      </c>
      <c r="M52" s="105">
        <f t="shared" si="7"/>
        <v>2.2234671487471211</v>
      </c>
      <c r="N52" s="157">
        <f t="shared" si="8"/>
        <v>33.276841976028919</v>
      </c>
      <c r="O52" s="105">
        <v>0</v>
      </c>
      <c r="P52" s="105">
        <v>0</v>
      </c>
      <c r="Q52" s="105">
        <v>0</v>
      </c>
      <c r="R52" s="157">
        <f t="shared" si="9"/>
        <v>33.276841976028919</v>
      </c>
    </row>
    <row r="53" spans="1:18" x14ac:dyDescent="0.2">
      <c r="A53" s="86">
        <v>10</v>
      </c>
      <c r="B53" s="151">
        <f t="shared" si="13"/>
        <v>45931</v>
      </c>
      <c r="C53" s="167">
        <f t="shared" si="14"/>
        <v>45966</v>
      </c>
      <c r="D53" s="167">
        <f t="shared" si="14"/>
        <v>45985</v>
      </c>
      <c r="E53" s="158" t="s">
        <v>80</v>
      </c>
      <c r="F53" s="86">
        <v>9</v>
      </c>
      <c r="G53" s="153">
        <v>117</v>
      </c>
      <c r="H53" s="154">
        <f t="shared" si="5"/>
        <v>4.6134187490356018</v>
      </c>
      <c r="I53" s="154">
        <f t="shared" si="1"/>
        <v>4.8679546082756167</v>
      </c>
      <c r="J53" s="105">
        <f t="shared" si="15"/>
        <v>569.55068916824712</v>
      </c>
      <c r="K53" s="155">
        <f t="shared" si="16"/>
        <v>539.76999363716538</v>
      </c>
      <c r="L53" s="156">
        <f t="shared" si="17"/>
        <v>29.780695531081733</v>
      </c>
      <c r="M53" s="105">
        <f t="shared" si="7"/>
        <v>2.1323414459296162</v>
      </c>
      <c r="N53" s="157">
        <f t="shared" si="8"/>
        <v>31.913036977011348</v>
      </c>
      <c r="O53" s="105">
        <v>0</v>
      </c>
      <c r="P53" s="105">
        <v>0</v>
      </c>
      <c r="Q53" s="105">
        <v>0</v>
      </c>
      <c r="R53" s="157">
        <f t="shared" si="9"/>
        <v>31.913036977011348</v>
      </c>
    </row>
    <row r="54" spans="1:18" x14ac:dyDescent="0.2">
      <c r="A54" s="86">
        <v>11</v>
      </c>
      <c r="B54" s="151">
        <f t="shared" si="13"/>
        <v>45962</v>
      </c>
      <c r="C54" s="167">
        <f t="shared" si="14"/>
        <v>45994</v>
      </c>
      <c r="D54" s="167">
        <f t="shared" si="14"/>
        <v>46015</v>
      </c>
      <c r="E54" s="158" t="s">
        <v>80</v>
      </c>
      <c r="F54" s="86">
        <v>9</v>
      </c>
      <c r="G54" s="153">
        <v>118</v>
      </c>
      <c r="H54" s="154">
        <f t="shared" si="5"/>
        <v>4.6134187490356018</v>
      </c>
      <c r="I54" s="154">
        <f t="shared" si="1"/>
        <v>4.8679546082756167</v>
      </c>
      <c r="J54" s="105">
        <f t="shared" si="15"/>
        <v>574.4186437765228</v>
      </c>
      <c r="K54" s="155">
        <f t="shared" si="16"/>
        <v>544.38341238620103</v>
      </c>
      <c r="L54" s="156">
        <f t="shared" si="17"/>
        <v>30.035231390321769</v>
      </c>
      <c r="M54" s="105">
        <f t="shared" si="7"/>
        <v>2.1505665864931172</v>
      </c>
      <c r="N54" s="157">
        <f t="shared" si="8"/>
        <v>32.185797976814889</v>
      </c>
      <c r="O54" s="105">
        <v>0</v>
      </c>
      <c r="P54" s="105">
        <v>0</v>
      </c>
      <c r="Q54" s="105">
        <v>0</v>
      </c>
      <c r="R54" s="157">
        <f t="shared" si="9"/>
        <v>32.185797976814889</v>
      </c>
    </row>
    <row r="55" spans="1:18" x14ac:dyDescent="0.2">
      <c r="A55" s="86">
        <v>12</v>
      </c>
      <c r="B55" s="151">
        <f t="shared" si="13"/>
        <v>45992</v>
      </c>
      <c r="C55" s="167">
        <f t="shared" si="14"/>
        <v>46028</v>
      </c>
      <c r="D55" s="167">
        <f t="shared" si="14"/>
        <v>46048</v>
      </c>
      <c r="E55" s="158" t="s">
        <v>80</v>
      </c>
      <c r="F55" s="86">
        <v>9</v>
      </c>
      <c r="G55" s="190">
        <v>178</v>
      </c>
      <c r="H55" s="159">
        <f t="shared" si="5"/>
        <v>4.6134187490356018</v>
      </c>
      <c r="I55" s="159">
        <f t="shared" si="1"/>
        <v>4.8679546082756167</v>
      </c>
      <c r="J55" s="160">
        <f t="shared" si="15"/>
        <v>866.49592027305971</v>
      </c>
      <c r="K55" s="161">
        <f t="shared" si="16"/>
        <v>821.18853732833713</v>
      </c>
      <c r="L55" s="162">
        <f t="shared" si="17"/>
        <v>45.307382944722576</v>
      </c>
      <c r="M55" s="160">
        <f t="shared" si="7"/>
        <v>3.2440750203031765</v>
      </c>
      <c r="N55" s="191">
        <f t="shared" si="8"/>
        <v>48.551457965025755</v>
      </c>
      <c r="O55" s="160">
        <v>0</v>
      </c>
      <c r="P55" s="160">
        <v>0</v>
      </c>
      <c r="Q55" s="160">
        <v>0</v>
      </c>
      <c r="R55" s="191">
        <f t="shared" si="9"/>
        <v>48.551457965025755</v>
      </c>
    </row>
    <row r="56" spans="1:18" s="168" customFormat="1" x14ac:dyDescent="0.2">
      <c r="A56" s="86">
        <v>1</v>
      </c>
      <c r="B56" s="163">
        <f t="shared" si="4"/>
        <v>45658</v>
      </c>
      <c r="C56" s="164">
        <f t="shared" ref="C56:D67" si="18">+C32</f>
        <v>45693</v>
      </c>
      <c r="D56" s="164">
        <f t="shared" si="18"/>
        <v>45712</v>
      </c>
      <c r="E56" s="165" t="s">
        <v>14</v>
      </c>
      <c r="F56" s="166">
        <v>9</v>
      </c>
      <c r="G56" s="153">
        <v>966</v>
      </c>
      <c r="H56" s="154">
        <f t="shared" si="5"/>
        <v>4.6134187490356018</v>
      </c>
      <c r="I56" s="154">
        <f t="shared" si="1"/>
        <v>4.8679546082756167</v>
      </c>
      <c r="J56" s="105">
        <f t="shared" si="2"/>
        <v>4702.4441515942453</v>
      </c>
      <c r="K56" s="155">
        <f t="shared" si="11"/>
        <v>4456.5625115683915</v>
      </c>
      <c r="L56" s="156">
        <f t="shared" si="12"/>
        <v>245.88164002585381</v>
      </c>
      <c r="M56" s="105">
        <f t="shared" si="7"/>
        <v>17.605485784341962</v>
      </c>
      <c r="N56" s="157">
        <f t="shared" si="8"/>
        <v>263.48712581019578</v>
      </c>
      <c r="O56" s="105">
        <v>0</v>
      </c>
      <c r="P56" s="105">
        <v>0</v>
      </c>
      <c r="Q56" s="105">
        <v>0</v>
      </c>
      <c r="R56" s="157">
        <f t="shared" si="9"/>
        <v>263.48712581019578</v>
      </c>
    </row>
    <row r="57" spans="1:18" x14ac:dyDescent="0.2">
      <c r="A57" s="86">
        <v>2</v>
      </c>
      <c r="B57" s="151">
        <f t="shared" si="4"/>
        <v>45689</v>
      </c>
      <c r="C57" s="167">
        <f t="shared" si="18"/>
        <v>45721</v>
      </c>
      <c r="D57" s="167">
        <f t="shared" si="18"/>
        <v>45740</v>
      </c>
      <c r="E57" s="158" t="s">
        <v>14</v>
      </c>
      <c r="F57" s="86">
        <v>9</v>
      </c>
      <c r="G57" s="153">
        <v>1102</v>
      </c>
      <c r="H57" s="154">
        <f t="shared" si="5"/>
        <v>4.6134187490356018</v>
      </c>
      <c r="I57" s="154">
        <f t="shared" si="1"/>
        <v>4.8679546082756167</v>
      </c>
      <c r="J57" s="105">
        <f t="shared" si="2"/>
        <v>5364.4859783197298</v>
      </c>
      <c r="K57" s="155">
        <f t="shared" si="11"/>
        <v>5083.9874614372329</v>
      </c>
      <c r="L57" s="156">
        <f t="shared" si="12"/>
        <v>280.49851688249692</v>
      </c>
      <c r="M57" s="105">
        <f t="shared" si="7"/>
        <v>20.084104900978094</v>
      </c>
      <c r="N57" s="157">
        <f t="shared" si="8"/>
        <v>300.58262178347502</v>
      </c>
      <c r="O57" s="105">
        <v>0</v>
      </c>
      <c r="P57" s="105">
        <v>0</v>
      </c>
      <c r="Q57" s="105">
        <v>0</v>
      </c>
      <c r="R57" s="157">
        <f t="shared" si="9"/>
        <v>300.58262178347502</v>
      </c>
    </row>
    <row r="58" spans="1:18" x14ac:dyDescent="0.2">
      <c r="A58" s="86">
        <v>3</v>
      </c>
      <c r="B58" s="151">
        <f t="shared" si="4"/>
        <v>45717</v>
      </c>
      <c r="C58" s="167">
        <f t="shared" si="18"/>
        <v>45750</v>
      </c>
      <c r="D58" s="167">
        <f t="shared" si="18"/>
        <v>45771</v>
      </c>
      <c r="E58" s="158" t="s">
        <v>14</v>
      </c>
      <c r="F58" s="86">
        <v>9</v>
      </c>
      <c r="G58" s="153">
        <v>715</v>
      </c>
      <c r="H58" s="154">
        <f t="shared" si="5"/>
        <v>4.6134187490356018</v>
      </c>
      <c r="I58" s="154">
        <f t="shared" si="1"/>
        <v>4.8679546082756167</v>
      </c>
      <c r="J58" s="105">
        <f t="shared" si="2"/>
        <v>3480.5875449170658</v>
      </c>
      <c r="K58" s="155">
        <f t="shared" si="11"/>
        <v>3298.5944055604555</v>
      </c>
      <c r="L58" s="156">
        <f>+J58-K58</f>
        <v>181.9931393566103</v>
      </c>
      <c r="M58" s="105">
        <f t="shared" si="7"/>
        <v>13.030975502903209</v>
      </c>
      <c r="N58" s="157">
        <f t="shared" si="8"/>
        <v>195.0241148595135</v>
      </c>
      <c r="O58" s="105">
        <v>0</v>
      </c>
      <c r="P58" s="105">
        <v>0</v>
      </c>
      <c r="Q58" s="105">
        <v>0</v>
      </c>
      <c r="R58" s="157">
        <f t="shared" si="9"/>
        <v>195.0241148595135</v>
      </c>
    </row>
    <row r="59" spans="1:18" x14ac:dyDescent="0.2">
      <c r="A59" s="86">
        <v>4</v>
      </c>
      <c r="B59" s="151">
        <f t="shared" si="4"/>
        <v>45748</v>
      </c>
      <c r="C59" s="167">
        <f t="shared" si="18"/>
        <v>45782</v>
      </c>
      <c r="D59" s="167">
        <f t="shared" si="18"/>
        <v>45803</v>
      </c>
      <c r="E59" s="158" t="s">
        <v>14</v>
      </c>
      <c r="F59" s="86">
        <v>9</v>
      </c>
      <c r="G59" s="153">
        <v>581</v>
      </c>
      <c r="H59" s="154">
        <f t="shared" si="5"/>
        <v>4.6134187490356018</v>
      </c>
      <c r="I59" s="154">
        <f t="shared" si="1"/>
        <v>4.8679546082756167</v>
      </c>
      <c r="J59" s="105">
        <f t="shared" si="2"/>
        <v>2828.2816274081333</v>
      </c>
      <c r="K59" s="155">
        <f t="shared" si="11"/>
        <v>2680.3962931896845</v>
      </c>
      <c r="L59" s="156">
        <f t="shared" ref="L59:L81" si="19">+J59-K59</f>
        <v>147.88533421844886</v>
      </c>
      <c r="M59" s="105">
        <f t="shared" si="7"/>
        <v>10.588806667394076</v>
      </c>
      <c r="N59" s="157">
        <f t="shared" si="8"/>
        <v>158.47414088584293</v>
      </c>
      <c r="O59" s="105">
        <v>0</v>
      </c>
      <c r="P59" s="105">
        <v>0</v>
      </c>
      <c r="Q59" s="105">
        <v>0</v>
      </c>
      <c r="R59" s="157">
        <f t="shared" si="9"/>
        <v>158.47414088584293</v>
      </c>
    </row>
    <row r="60" spans="1:18" x14ac:dyDescent="0.2">
      <c r="A60" s="86">
        <v>5</v>
      </c>
      <c r="B60" s="151">
        <f t="shared" si="4"/>
        <v>45778</v>
      </c>
      <c r="C60" s="167">
        <f t="shared" si="18"/>
        <v>45812</v>
      </c>
      <c r="D60" s="167">
        <f t="shared" si="18"/>
        <v>45832</v>
      </c>
      <c r="E60" s="1" t="s">
        <v>14</v>
      </c>
      <c r="F60" s="86">
        <v>9</v>
      </c>
      <c r="G60" s="153">
        <v>781</v>
      </c>
      <c r="H60" s="154">
        <f t="shared" si="5"/>
        <v>4.6134187490356018</v>
      </c>
      <c r="I60" s="154">
        <f t="shared" si="1"/>
        <v>4.8679546082756167</v>
      </c>
      <c r="J60" s="105">
        <f t="shared" si="2"/>
        <v>3801.8725490632564</v>
      </c>
      <c r="K60" s="155">
        <f t="shared" si="11"/>
        <v>3603.0800429968049</v>
      </c>
      <c r="L60" s="156">
        <f t="shared" si="19"/>
        <v>198.79250606645155</v>
      </c>
      <c r="M60" s="105">
        <f t="shared" si="7"/>
        <v>14.233834780094275</v>
      </c>
      <c r="N60" s="157">
        <f t="shared" si="8"/>
        <v>213.02634084654582</v>
      </c>
      <c r="O60" s="105">
        <v>0</v>
      </c>
      <c r="P60" s="105">
        <v>0</v>
      </c>
      <c r="Q60" s="105">
        <v>0</v>
      </c>
      <c r="R60" s="157">
        <f t="shared" si="9"/>
        <v>213.02634084654582</v>
      </c>
    </row>
    <row r="61" spans="1:18" x14ac:dyDescent="0.2">
      <c r="A61" s="86">
        <v>6</v>
      </c>
      <c r="B61" s="151">
        <f t="shared" si="4"/>
        <v>45809</v>
      </c>
      <c r="C61" s="167">
        <f t="shared" si="18"/>
        <v>45841</v>
      </c>
      <c r="D61" s="167">
        <f t="shared" si="18"/>
        <v>45862</v>
      </c>
      <c r="E61" s="1" t="s">
        <v>14</v>
      </c>
      <c r="F61" s="86">
        <v>9</v>
      </c>
      <c r="G61" s="153">
        <v>896</v>
      </c>
      <c r="H61" s="154">
        <f t="shared" si="5"/>
        <v>4.6134187490356018</v>
      </c>
      <c r="I61" s="154">
        <f t="shared" si="1"/>
        <v>4.8679546082756167</v>
      </c>
      <c r="J61" s="105">
        <f t="shared" si="2"/>
        <v>4361.6873290149524</v>
      </c>
      <c r="K61" s="155">
        <f t="shared" si="11"/>
        <v>4133.6231991358991</v>
      </c>
      <c r="L61" s="156">
        <f t="shared" si="19"/>
        <v>228.06412987905333</v>
      </c>
      <c r="M61" s="105">
        <f t="shared" si="7"/>
        <v>16.329725944896889</v>
      </c>
      <c r="N61" s="157">
        <f t="shared" si="8"/>
        <v>244.39385582395022</v>
      </c>
      <c r="O61" s="105">
        <v>0</v>
      </c>
      <c r="P61" s="105">
        <v>0</v>
      </c>
      <c r="Q61" s="105">
        <v>0</v>
      </c>
      <c r="R61" s="157">
        <f t="shared" si="9"/>
        <v>244.39385582395022</v>
      </c>
    </row>
    <row r="62" spans="1:18" x14ac:dyDescent="0.2">
      <c r="A62" s="86">
        <v>7</v>
      </c>
      <c r="B62" s="151">
        <f t="shared" si="4"/>
        <v>45839</v>
      </c>
      <c r="C62" s="167">
        <f t="shared" si="18"/>
        <v>45874</v>
      </c>
      <c r="D62" s="167">
        <f t="shared" si="18"/>
        <v>45894</v>
      </c>
      <c r="E62" s="1" t="s">
        <v>14</v>
      </c>
      <c r="F62" s="86">
        <v>9</v>
      </c>
      <c r="G62" s="153">
        <v>1028</v>
      </c>
      <c r="H62" s="154">
        <f t="shared" si="5"/>
        <v>4.6134187490356018</v>
      </c>
      <c r="I62" s="154">
        <f t="shared" si="1"/>
        <v>4.8679546082756167</v>
      </c>
      <c r="J62" s="105">
        <f t="shared" si="2"/>
        <v>5004.2573373073337</v>
      </c>
      <c r="K62" s="155">
        <f t="shared" si="11"/>
        <v>4742.5944740085988</v>
      </c>
      <c r="L62" s="156">
        <f t="shared" si="19"/>
        <v>261.66286329873492</v>
      </c>
      <c r="M62" s="105">
        <f t="shared" si="7"/>
        <v>18.735444499279019</v>
      </c>
      <c r="N62" s="157">
        <f t="shared" si="8"/>
        <v>280.39830779801395</v>
      </c>
      <c r="O62" s="105">
        <v>0</v>
      </c>
      <c r="P62" s="105">
        <v>0</v>
      </c>
      <c r="Q62" s="105">
        <v>0</v>
      </c>
      <c r="R62" s="157">
        <f t="shared" si="9"/>
        <v>280.39830779801395</v>
      </c>
    </row>
    <row r="63" spans="1:18" x14ac:dyDescent="0.2">
      <c r="A63" s="86">
        <v>8</v>
      </c>
      <c r="B63" s="151">
        <f t="shared" si="4"/>
        <v>45870</v>
      </c>
      <c r="C63" s="167">
        <f t="shared" si="18"/>
        <v>45904</v>
      </c>
      <c r="D63" s="167">
        <f t="shared" si="18"/>
        <v>45924</v>
      </c>
      <c r="E63" s="1" t="s">
        <v>14</v>
      </c>
      <c r="F63" s="86">
        <v>9</v>
      </c>
      <c r="G63" s="153">
        <v>1055</v>
      </c>
      <c r="H63" s="154">
        <f t="shared" si="5"/>
        <v>4.6134187490356018</v>
      </c>
      <c r="I63" s="154">
        <f t="shared" si="1"/>
        <v>4.8679546082756167</v>
      </c>
      <c r="J63" s="105">
        <f t="shared" si="2"/>
        <v>5135.6921117307757</v>
      </c>
      <c r="K63" s="155">
        <f t="shared" si="11"/>
        <v>4867.1567802325599</v>
      </c>
      <c r="L63" s="156">
        <f t="shared" si="19"/>
        <v>268.53533149821578</v>
      </c>
      <c r="M63" s="105">
        <f t="shared" si="7"/>
        <v>19.227523294493547</v>
      </c>
      <c r="N63" s="157">
        <f t="shared" si="8"/>
        <v>287.76285479270933</v>
      </c>
      <c r="O63" s="105">
        <v>0</v>
      </c>
      <c r="P63" s="105">
        <v>0</v>
      </c>
      <c r="Q63" s="105">
        <v>0</v>
      </c>
      <c r="R63" s="157">
        <f t="shared" si="9"/>
        <v>287.76285479270933</v>
      </c>
    </row>
    <row r="64" spans="1:18" x14ac:dyDescent="0.2">
      <c r="A64" s="86">
        <v>9</v>
      </c>
      <c r="B64" s="151">
        <f t="shared" si="4"/>
        <v>45901</v>
      </c>
      <c r="C64" s="167">
        <f t="shared" si="18"/>
        <v>45933</v>
      </c>
      <c r="D64" s="167">
        <f t="shared" si="18"/>
        <v>45954</v>
      </c>
      <c r="E64" s="1" t="s">
        <v>14</v>
      </c>
      <c r="F64" s="86">
        <v>9</v>
      </c>
      <c r="G64" s="153">
        <v>815</v>
      </c>
      <c r="H64" s="154">
        <f t="shared" si="5"/>
        <v>4.6134187490356018</v>
      </c>
      <c r="I64" s="154">
        <f t="shared" ref="I64:I107" si="20">$J$3</f>
        <v>4.8679546082756167</v>
      </c>
      <c r="J64" s="105">
        <f t="shared" si="2"/>
        <v>3967.3830057446276</v>
      </c>
      <c r="K64" s="155">
        <f t="shared" si="11"/>
        <v>3759.9362804640155</v>
      </c>
      <c r="L64" s="156">
        <f t="shared" si="19"/>
        <v>207.4467252806121</v>
      </c>
      <c r="M64" s="105">
        <f t="shared" si="7"/>
        <v>14.853489559253308</v>
      </c>
      <c r="N64" s="157">
        <f t="shared" si="8"/>
        <v>222.30021483986542</v>
      </c>
      <c r="O64" s="105">
        <v>0</v>
      </c>
      <c r="P64" s="105">
        <v>0</v>
      </c>
      <c r="Q64" s="105">
        <v>0</v>
      </c>
      <c r="R64" s="157">
        <f t="shared" si="9"/>
        <v>222.30021483986542</v>
      </c>
    </row>
    <row r="65" spans="1:18" x14ac:dyDescent="0.2">
      <c r="A65" s="86">
        <v>10</v>
      </c>
      <c r="B65" s="151">
        <f t="shared" si="4"/>
        <v>45931</v>
      </c>
      <c r="C65" s="167">
        <f t="shared" si="18"/>
        <v>45966</v>
      </c>
      <c r="D65" s="167">
        <f t="shared" si="18"/>
        <v>45985</v>
      </c>
      <c r="E65" s="1" t="s">
        <v>14</v>
      </c>
      <c r="F65" s="86">
        <v>9</v>
      </c>
      <c r="G65" s="153">
        <v>738</v>
      </c>
      <c r="H65" s="154">
        <f t="shared" si="5"/>
        <v>4.6134187490356018</v>
      </c>
      <c r="I65" s="154">
        <f t="shared" si="20"/>
        <v>4.8679546082756167</v>
      </c>
      <c r="J65" s="105">
        <f t="shared" si="2"/>
        <v>3592.550500907405</v>
      </c>
      <c r="K65" s="155">
        <f t="shared" si="11"/>
        <v>3404.7030367882739</v>
      </c>
      <c r="L65" s="156">
        <f t="shared" si="19"/>
        <v>187.84746411913102</v>
      </c>
      <c r="M65" s="105">
        <f t="shared" si="7"/>
        <v>13.450153735863733</v>
      </c>
      <c r="N65" s="157">
        <f t="shared" si="8"/>
        <v>201.29761785499474</v>
      </c>
      <c r="O65" s="105">
        <v>0</v>
      </c>
      <c r="P65" s="105">
        <v>0</v>
      </c>
      <c r="Q65" s="105">
        <v>0</v>
      </c>
      <c r="R65" s="157">
        <f t="shared" si="9"/>
        <v>201.29761785499474</v>
      </c>
    </row>
    <row r="66" spans="1:18" x14ac:dyDescent="0.2">
      <c r="A66" s="86">
        <v>11</v>
      </c>
      <c r="B66" s="151">
        <f t="shared" si="4"/>
        <v>45962</v>
      </c>
      <c r="C66" s="167">
        <f t="shared" si="18"/>
        <v>45994</v>
      </c>
      <c r="D66" s="167">
        <f t="shared" si="18"/>
        <v>46015</v>
      </c>
      <c r="E66" s="1" t="s">
        <v>14</v>
      </c>
      <c r="F66" s="86">
        <v>9</v>
      </c>
      <c r="G66" s="153">
        <v>706</v>
      </c>
      <c r="H66" s="154">
        <f t="shared" si="5"/>
        <v>4.6134187490356018</v>
      </c>
      <c r="I66" s="154">
        <f t="shared" si="20"/>
        <v>4.8679546082756167</v>
      </c>
      <c r="J66" s="105">
        <f t="shared" si="2"/>
        <v>3436.7759534425854</v>
      </c>
      <c r="K66" s="155">
        <f t="shared" si="11"/>
        <v>3257.0736368191347</v>
      </c>
      <c r="L66" s="156">
        <f t="shared" si="19"/>
        <v>179.70231662345077</v>
      </c>
      <c r="M66" s="105">
        <f t="shared" si="7"/>
        <v>12.866949237831701</v>
      </c>
      <c r="N66" s="157">
        <f t="shared" si="8"/>
        <v>192.56926586128247</v>
      </c>
      <c r="O66" s="105">
        <v>0</v>
      </c>
      <c r="P66" s="105">
        <v>0</v>
      </c>
      <c r="Q66" s="105">
        <v>0</v>
      </c>
      <c r="R66" s="157">
        <f t="shared" si="9"/>
        <v>192.56926586128247</v>
      </c>
    </row>
    <row r="67" spans="1:18" s="171" customFormat="1" x14ac:dyDescent="0.2">
      <c r="A67" s="86">
        <v>12</v>
      </c>
      <c r="B67" s="169">
        <f t="shared" si="4"/>
        <v>45992</v>
      </c>
      <c r="C67" s="167">
        <f t="shared" si="18"/>
        <v>46028</v>
      </c>
      <c r="D67" s="167">
        <f t="shared" si="18"/>
        <v>46048</v>
      </c>
      <c r="E67" s="170" t="s">
        <v>14</v>
      </c>
      <c r="F67" s="128">
        <v>9</v>
      </c>
      <c r="G67" s="190">
        <v>863</v>
      </c>
      <c r="H67" s="159">
        <f t="shared" si="5"/>
        <v>4.6134187490356018</v>
      </c>
      <c r="I67" s="159">
        <f t="shared" si="20"/>
        <v>4.8679546082756167</v>
      </c>
      <c r="J67" s="160">
        <f t="shared" si="2"/>
        <v>4201.0448269418575</v>
      </c>
      <c r="K67" s="161">
        <f t="shared" si="11"/>
        <v>3981.3803804177242</v>
      </c>
      <c r="L67" s="162">
        <f t="shared" si="19"/>
        <v>219.66444652413338</v>
      </c>
      <c r="M67" s="160">
        <f t="shared" si="7"/>
        <v>15.728296306301354</v>
      </c>
      <c r="N67" s="191">
        <f t="shared" si="8"/>
        <v>235.39274283043474</v>
      </c>
      <c r="O67" s="160">
        <v>0</v>
      </c>
      <c r="P67" s="160">
        <v>0</v>
      </c>
      <c r="Q67" s="160">
        <v>0</v>
      </c>
      <c r="R67" s="191">
        <f t="shared" si="9"/>
        <v>235.39274283043474</v>
      </c>
    </row>
    <row r="68" spans="1:18" x14ac:dyDescent="0.2">
      <c r="A68" s="86">
        <v>1</v>
      </c>
      <c r="B68" s="151">
        <f t="shared" si="4"/>
        <v>45658</v>
      </c>
      <c r="C68" s="164">
        <f t="shared" ref="C68:D79" si="21">+C56</f>
        <v>45693</v>
      </c>
      <c r="D68" s="164">
        <f t="shared" si="21"/>
        <v>45712</v>
      </c>
      <c r="E68" s="152" t="s">
        <v>82</v>
      </c>
      <c r="F68" s="86">
        <v>9</v>
      </c>
      <c r="G68" s="153">
        <v>47</v>
      </c>
      <c r="H68" s="154">
        <f t="shared" si="5"/>
        <v>4.6134187490356018</v>
      </c>
      <c r="I68" s="154">
        <f t="shared" si="20"/>
        <v>4.8679546082756167</v>
      </c>
      <c r="J68" s="105">
        <f t="shared" si="2"/>
        <v>228.79386658895399</v>
      </c>
      <c r="K68" s="155">
        <f t="shared" si="11"/>
        <v>216.83068120467328</v>
      </c>
      <c r="L68" s="156">
        <f t="shared" si="19"/>
        <v>11.963185384280706</v>
      </c>
      <c r="M68" s="105">
        <f t="shared" si="7"/>
        <v>0.85658160648454662</v>
      </c>
      <c r="N68" s="157">
        <f t="shared" si="8"/>
        <v>12.819766990765253</v>
      </c>
      <c r="O68" s="105">
        <v>0</v>
      </c>
      <c r="P68" s="105">
        <v>0</v>
      </c>
      <c r="Q68" s="105">
        <v>0</v>
      </c>
      <c r="R68" s="157">
        <f t="shared" si="9"/>
        <v>12.819766990765253</v>
      </c>
    </row>
    <row r="69" spans="1:18" x14ac:dyDescent="0.2">
      <c r="A69" s="86">
        <v>2</v>
      </c>
      <c r="B69" s="151">
        <f t="shared" si="4"/>
        <v>45689</v>
      </c>
      <c r="C69" s="167">
        <f t="shared" si="21"/>
        <v>45721</v>
      </c>
      <c r="D69" s="167">
        <f t="shared" si="21"/>
        <v>45740</v>
      </c>
      <c r="E69" s="158" t="s">
        <v>82</v>
      </c>
      <c r="F69" s="86">
        <v>9</v>
      </c>
      <c r="G69" s="153">
        <v>57</v>
      </c>
      <c r="H69" s="154">
        <f t="shared" si="5"/>
        <v>4.6134187490356018</v>
      </c>
      <c r="I69" s="154">
        <f t="shared" si="20"/>
        <v>4.8679546082756167</v>
      </c>
      <c r="J69" s="105">
        <f t="shared" si="2"/>
        <v>277.47341267171015</v>
      </c>
      <c r="K69" s="155">
        <f t="shared" si="11"/>
        <v>262.96486869502928</v>
      </c>
      <c r="L69" s="156">
        <f t="shared" si="19"/>
        <v>14.508543976680869</v>
      </c>
      <c r="M69" s="105">
        <f t="shared" si="7"/>
        <v>1.0388330121195566</v>
      </c>
      <c r="N69" s="157">
        <f t="shared" si="8"/>
        <v>15.547376988800426</v>
      </c>
      <c r="O69" s="105">
        <v>0</v>
      </c>
      <c r="P69" s="105">
        <v>0</v>
      </c>
      <c r="Q69" s="105">
        <v>0</v>
      </c>
      <c r="R69" s="157">
        <f t="shared" si="9"/>
        <v>15.547376988800426</v>
      </c>
    </row>
    <row r="70" spans="1:18" x14ac:dyDescent="0.2">
      <c r="A70" s="86">
        <v>3</v>
      </c>
      <c r="B70" s="151">
        <f t="shared" si="4"/>
        <v>45717</v>
      </c>
      <c r="C70" s="167">
        <f t="shared" si="21"/>
        <v>45750</v>
      </c>
      <c r="D70" s="167">
        <f t="shared" si="21"/>
        <v>45771</v>
      </c>
      <c r="E70" s="158" t="s">
        <v>82</v>
      </c>
      <c r="F70" s="86">
        <v>9</v>
      </c>
      <c r="G70" s="153">
        <v>34</v>
      </c>
      <c r="H70" s="154">
        <f t="shared" si="5"/>
        <v>4.6134187490356018</v>
      </c>
      <c r="I70" s="154">
        <f t="shared" si="20"/>
        <v>4.8679546082756167</v>
      </c>
      <c r="J70" s="105">
        <f t="shared" si="2"/>
        <v>165.51045668137095</v>
      </c>
      <c r="K70" s="155">
        <f t="shared" si="11"/>
        <v>156.85623746721046</v>
      </c>
      <c r="L70" s="156">
        <f>+J70-K70</f>
        <v>8.6542192141604914</v>
      </c>
      <c r="M70" s="105">
        <f t="shared" si="7"/>
        <v>0.61965477915903366</v>
      </c>
      <c r="N70" s="157">
        <f t="shared" si="8"/>
        <v>9.2738739933195244</v>
      </c>
      <c r="O70" s="105">
        <v>0</v>
      </c>
      <c r="P70" s="105">
        <v>0</v>
      </c>
      <c r="Q70" s="105">
        <v>0</v>
      </c>
      <c r="R70" s="157">
        <f t="shared" si="9"/>
        <v>9.2738739933195244</v>
      </c>
    </row>
    <row r="71" spans="1:18" x14ac:dyDescent="0.2">
      <c r="A71" s="86">
        <v>4</v>
      </c>
      <c r="B71" s="151">
        <f t="shared" si="4"/>
        <v>45748</v>
      </c>
      <c r="C71" s="167">
        <f t="shared" si="21"/>
        <v>45782</v>
      </c>
      <c r="D71" s="167">
        <f t="shared" si="21"/>
        <v>45803</v>
      </c>
      <c r="E71" s="158" t="s">
        <v>82</v>
      </c>
      <c r="F71" s="86">
        <v>9</v>
      </c>
      <c r="G71" s="153">
        <v>27</v>
      </c>
      <c r="H71" s="154">
        <f t="shared" si="5"/>
        <v>4.6134187490356018</v>
      </c>
      <c r="I71" s="154">
        <f t="shared" si="20"/>
        <v>4.8679546082756167</v>
      </c>
      <c r="J71" s="105">
        <f t="shared" si="2"/>
        <v>131.43477442344164</v>
      </c>
      <c r="K71" s="155">
        <f t="shared" si="11"/>
        <v>124.56230622396124</v>
      </c>
      <c r="L71" s="156">
        <f t="shared" ref="L71:L79" si="22">+J71-K71</f>
        <v>6.8724681994803944</v>
      </c>
      <c r="M71" s="105">
        <f t="shared" si="7"/>
        <v>0.4920787952145268</v>
      </c>
      <c r="N71" s="157">
        <f t="shared" si="8"/>
        <v>7.3645469946949209</v>
      </c>
      <c r="O71" s="105">
        <v>0</v>
      </c>
      <c r="P71" s="105">
        <v>0</v>
      </c>
      <c r="Q71" s="105">
        <v>0</v>
      </c>
      <c r="R71" s="157">
        <f t="shared" si="9"/>
        <v>7.3645469946949209</v>
      </c>
    </row>
    <row r="72" spans="1:18" x14ac:dyDescent="0.2">
      <c r="A72" s="86">
        <v>5</v>
      </c>
      <c r="B72" s="151">
        <f t="shared" si="4"/>
        <v>45778</v>
      </c>
      <c r="C72" s="167">
        <f t="shared" si="21"/>
        <v>45812</v>
      </c>
      <c r="D72" s="167">
        <f t="shared" si="21"/>
        <v>45832</v>
      </c>
      <c r="E72" s="158" t="s">
        <v>82</v>
      </c>
      <c r="F72" s="86">
        <v>9</v>
      </c>
      <c r="G72" s="153">
        <v>40</v>
      </c>
      <c r="H72" s="154">
        <f t="shared" si="5"/>
        <v>4.6134187490356018</v>
      </c>
      <c r="I72" s="154">
        <f t="shared" si="20"/>
        <v>4.8679546082756167</v>
      </c>
      <c r="J72" s="105">
        <f t="shared" si="2"/>
        <v>194.71818433102467</v>
      </c>
      <c r="K72" s="155">
        <f t="shared" si="11"/>
        <v>184.53674996142408</v>
      </c>
      <c r="L72" s="156">
        <f t="shared" si="22"/>
        <v>10.181434369600595</v>
      </c>
      <c r="M72" s="105">
        <f t="shared" si="7"/>
        <v>0.72900562254003964</v>
      </c>
      <c r="N72" s="157">
        <f t="shared" si="8"/>
        <v>10.910439992140635</v>
      </c>
      <c r="O72" s="105">
        <v>0</v>
      </c>
      <c r="P72" s="105">
        <v>0</v>
      </c>
      <c r="Q72" s="105">
        <v>0</v>
      </c>
      <c r="R72" s="157">
        <f t="shared" si="9"/>
        <v>10.910439992140635</v>
      </c>
    </row>
    <row r="73" spans="1:18" x14ac:dyDescent="0.2">
      <c r="A73" s="86">
        <v>6</v>
      </c>
      <c r="B73" s="151">
        <f t="shared" si="4"/>
        <v>45809</v>
      </c>
      <c r="C73" s="167">
        <f t="shared" si="21"/>
        <v>45841</v>
      </c>
      <c r="D73" s="167">
        <f t="shared" si="21"/>
        <v>45862</v>
      </c>
      <c r="E73" s="158" t="s">
        <v>82</v>
      </c>
      <c r="F73" s="86">
        <v>9</v>
      </c>
      <c r="G73" s="153">
        <v>46</v>
      </c>
      <c r="H73" s="154">
        <f t="shared" si="5"/>
        <v>4.6134187490356018</v>
      </c>
      <c r="I73" s="154">
        <f t="shared" si="20"/>
        <v>4.8679546082756167</v>
      </c>
      <c r="J73" s="105">
        <f t="shared" si="2"/>
        <v>223.92591198067836</v>
      </c>
      <c r="K73" s="155">
        <f t="shared" si="11"/>
        <v>212.21726245563769</v>
      </c>
      <c r="L73" s="156">
        <f t="shared" si="22"/>
        <v>11.70864952504067</v>
      </c>
      <c r="M73" s="105">
        <f t="shared" si="7"/>
        <v>0.83835646592104573</v>
      </c>
      <c r="N73" s="157">
        <f t="shared" si="8"/>
        <v>12.547005990961715</v>
      </c>
      <c r="O73" s="105">
        <v>0</v>
      </c>
      <c r="P73" s="105">
        <v>0</v>
      </c>
      <c r="Q73" s="105">
        <v>0</v>
      </c>
      <c r="R73" s="157">
        <f t="shared" si="9"/>
        <v>12.547005990961715</v>
      </c>
    </row>
    <row r="74" spans="1:18" x14ac:dyDescent="0.2">
      <c r="A74" s="86">
        <v>7</v>
      </c>
      <c r="B74" s="151">
        <f t="shared" si="4"/>
        <v>45839</v>
      </c>
      <c r="C74" s="167">
        <f t="shared" si="21"/>
        <v>45874</v>
      </c>
      <c r="D74" s="167">
        <f t="shared" si="21"/>
        <v>45894</v>
      </c>
      <c r="E74" s="158" t="s">
        <v>82</v>
      </c>
      <c r="F74" s="86">
        <v>9</v>
      </c>
      <c r="G74" s="153">
        <v>55</v>
      </c>
      <c r="H74" s="154">
        <f t="shared" si="5"/>
        <v>4.6134187490356018</v>
      </c>
      <c r="I74" s="154">
        <f t="shared" si="20"/>
        <v>4.8679546082756167</v>
      </c>
      <c r="J74" s="105">
        <f t="shared" si="2"/>
        <v>267.7375034551589</v>
      </c>
      <c r="K74" s="155">
        <f t="shared" si="11"/>
        <v>253.7380311969581</v>
      </c>
      <c r="L74" s="156">
        <f t="shared" si="22"/>
        <v>13.999472258200797</v>
      </c>
      <c r="M74" s="105">
        <f t="shared" si="7"/>
        <v>1.0023827309925546</v>
      </c>
      <c r="N74" s="157">
        <f t="shared" si="8"/>
        <v>15.001854989193351</v>
      </c>
      <c r="O74" s="105">
        <v>0</v>
      </c>
      <c r="P74" s="105">
        <v>0</v>
      </c>
      <c r="Q74" s="105">
        <v>0</v>
      </c>
      <c r="R74" s="157">
        <f t="shared" si="9"/>
        <v>15.001854989193351</v>
      </c>
    </row>
    <row r="75" spans="1:18" x14ac:dyDescent="0.2">
      <c r="A75" s="86">
        <v>8</v>
      </c>
      <c r="B75" s="151">
        <f t="shared" si="4"/>
        <v>45870</v>
      </c>
      <c r="C75" s="167">
        <f t="shared" si="21"/>
        <v>45904</v>
      </c>
      <c r="D75" s="167">
        <f t="shared" si="21"/>
        <v>45924</v>
      </c>
      <c r="E75" s="158" t="s">
        <v>82</v>
      </c>
      <c r="F75" s="86">
        <v>9</v>
      </c>
      <c r="G75" s="153">
        <v>55</v>
      </c>
      <c r="H75" s="154">
        <f t="shared" si="5"/>
        <v>4.6134187490356018</v>
      </c>
      <c r="I75" s="154">
        <f t="shared" si="20"/>
        <v>4.8679546082756167</v>
      </c>
      <c r="J75" s="105">
        <f t="shared" si="2"/>
        <v>267.7375034551589</v>
      </c>
      <c r="K75" s="155">
        <f t="shared" si="11"/>
        <v>253.7380311969581</v>
      </c>
      <c r="L75" s="156">
        <f t="shared" si="22"/>
        <v>13.999472258200797</v>
      </c>
      <c r="M75" s="105">
        <f t="shared" si="7"/>
        <v>1.0023827309925546</v>
      </c>
      <c r="N75" s="157">
        <f t="shared" si="8"/>
        <v>15.001854989193351</v>
      </c>
      <c r="O75" s="105">
        <v>0</v>
      </c>
      <c r="P75" s="105">
        <v>0</v>
      </c>
      <c r="Q75" s="105">
        <v>0</v>
      </c>
      <c r="R75" s="157">
        <f t="shared" si="9"/>
        <v>15.001854989193351</v>
      </c>
    </row>
    <row r="76" spans="1:18" x14ac:dyDescent="0.2">
      <c r="A76" s="86">
        <v>9</v>
      </c>
      <c r="B76" s="151">
        <f t="shared" si="4"/>
        <v>45901</v>
      </c>
      <c r="C76" s="167">
        <f t="shared" si="21"/>
        <v>45933</v>
      </c>
      <c r="D76" s="167">
        <f t="shared" si="21"/>
        <v>45954</v>
      </c>
      <c r="E76" s="158" t="s">
        <v>82</v>
      </c>
      <c r="F76" s="86">
        <v>9</v>
      </c>
      <c r="G76" s="153">
        <v>44</v>
      </c>
      <c r="H76" s="154">
        <f t="shared" si="5"/>
        <v>4.6134187490356018</v>
      </c>
      <c r="I76" s="154">
        <f t="shared" si="20"/>
        <v>4.8679546082756167</v>
      </c>
      <c r="J76" s="105">
        <f t="shared" si="2"/>
        <v>214.19000276412714</v>
      </c>
      <c r="K76" s="155">
        <f t="shared" si="11"/>
        <v>202.99042495756649</v>
      </c>
      <c r="L76" s="156">
        <f t="shared" si="22"/>
        <v>11.199577806560654</v>
      </c>
      <c r="M76" s="105">
        <f t="shared" si="7"/>
        <v>0.80190618479404374</v>
      </c>
      <c r="N76" s="157">
        <f t="shared" si="8"/>
        <v>12.001483991354698</v>
      </c>
      <c r="O76" s="105">
        <v>0</v>
      </c>
      <c r="P76" s="105">
        <v>0</v>
      </c>
      <c r="Q76" s="105">
        <v>0</v>
      </c>
      <c r="R76" s="157">
        <f t="shared" si="9"/>
        <v>12.001483991354698</v>
      </c>
    </row>
    <row r="77" spans="1:18" x14ac:dyDescent="0.2">
      <c r="A77" s="86">
        <v>10</v>
      </c>
      <c r="B77" s="151">
        <f t="shared" si="4"/>
        <v>45931</v>
      </c>
      <c r="C77" s="167">
        <f t="shared" si="21"/>
        <v>45966</v>
      </c>
      <c r="D77" s="167">
        <f t="shared" si="21"/>
        <v>45985</v>
      </c>
      <c r="E77" s="158" t="s">
        <v>82</v>
      </c>
      <c r="F77" s="86">
        <v>9</v>
      </c>
      <c r="G77" s="153">
        <v>34</v>
      </c>
      <c r="H77" s="154">
        <f t="shared" si="5"/>
        <v>4.6134187490356018</v>
      </c>
      <c r="I77" s="154">
        <f t="shared" si="20"/>
        <v>4.8679546082756167</v>
      </c>
      <c r="J77" s="105">
        <f t="shared" si="2"/>
        <v>165.51045668137095</v>
      </c>
      <c r="K77" s="155">
        <f t="shared" si="11"/>
        <v>156.85623746721046</v>
      </c>
      <c r="L77" s="156">
        <f t="shared" si="22"/>
        <v>8.6542192141604914</v>
      </c>
      <c r="M77" s="105">
        <f t="shared" si="7"/>
        <v>0.61965477915903366</v>
      </c>
      <c r="N77" s="157">
        <f t="shared" si="8"/>
        <v>9.2738739933195244</v>
      </c>
      <c r="O77" s="105">
        <v>0</v>
      </c>
      <c r="P77" s="105">
        <v>0</v>
      </c>
      <c r="Q77" s="105">
        <v>0</v>
      </c>
      <c r="R77" s="157">
        <f t="shared" si="9"/>
        <v>9.2738739933195244</v>
      </c>
    </row>
    <row r="78" spans="1:18" x14ac:dyDescent="0.2">
      <c r="A78" s="86">
        <v>11</v>
      </c>
      <c r="B78" s="151">
        <f t="shared" si="4"/>
        <v>45962</v>
      </c>
      <c r="C78" s="167">
        <f t="shared" si="21"/>
        <v>45994</v>
      </c>
      <c r="D78" s="167">
        <f t="shared" si="21"/>
        <v>46015</v>
      </c>
      <c r="E78" s="158" t="s">
        <v>82</v>
      </c>
      <c r="F78" s="86">
        <v>9</v>
      </c>
      <c r="G78" s="153">
        <v>35</v>
      </c>
      <c r="H78" s="154">
        <f t="shared" si="5"/>
        <v>4.6134187490356018</v>
      </c>
      <c r="I78" s="154">
        <f t="shared" si="20"/>
        <v>4.8679546082756167</v>
      </c>
      <c r="J78" s="105">
        <f t="shared" si="2"/>
        <v>170.37841128964658</v>
      </c>
      <c r="K78" s="155">
        <f>+$G78*H78</f>
        <v>161.46965621624605</v>
      </c>
      <c r="L78" s="156">
        <f t="shared" si="22"/>
        <v>8.9087550734005276</v>
      </c>
      <c r="M78" s="105">
        <f t="shared" si="7"/>
        <v>0.63787991972253477</v>
      </c>
      <c r="N78" s="157">
        <f t="shared" si="8"/>
        <v>9.5466349931230621</v>
      </c>
      <c r="O78" s="105">
        <v>0</v>
      </c>
      <c r="P78" s="105">
        <v>0</v>
      </c>
      <c r="Q78" s="105">
        <v>0</v>
      </c>
      <c r="R78" s="157">
        <f t="shared" si="9"/>
        <v>9.5466349931230621</v>
      </c>
    </row>
    <row r="79" spans="1:18" s="171" customFormat="1" x14ac:dyDescent="0.2">
      <c r="A79" s="86">
        <v>12</v>
      </c>
      <c r="B79" s="169">
        <f t="shared" si="4"/>
        <v>45992</v>
      </c>
      <c r="C79" s="172">
        <f t="shared" si="21"/>
        <v>46028</v>
      </c>
      <c r="D79" s="172">
        <f t="shared" si="21"/>
        <v>46048</v>
      </c>
      <c r="E79" s="173" t="s">
        <v>82</v>
      </c>
      <c r="F79" s="128">
        <v>9</v>
      </c>
      <c r="G79" s="190">
        <v>39</v>
      </c>
      <c r="H79" s="159">
        <f t="shared" si="5"/>
        <v>4.6134187490356018</v>
      </c>
      <c r="I79" s="159">
        <f t="shared" si="20"/>
        <v>4.8679546082756167</v>
      </c>
      <c r="J79" s="160">
        <f t="shared" si="2"/>
        <v>189.85022972274905</v>
      </c>
      <c r="K79" s="161">
        <f>+$G79*H79</f>
        <v>179.92333121238846</v>
      </c>
      <c r="L79" s="162">
        <f t="shared" si="22"/>
        <v>9.9268985103605871</v>
      </c>
      <c r="M79" s="160">
        <f t="shared" si="7"/>
        <v>0.71078048197653876</v>
      </c>
      <c r="N79" s="191">
        <f t="shared" si="8"/>
        <v>10.637678992337126</v>
      </c>
      <c r="O79" s="160">
        <v>0</v>
      </c>
      <c r="P79" s="160">
        <v>0</v>
      </c>
      <c r="Q79" s="160">
        <v>0</v>
      </c>
      <c r="R79" s="191">
        <f t="shared" si="9"/>
        <v>10.637678992337126</v>
      </c>
    </row>
    <row r="80" spans="1:18" ht="12.75" customHeight="1" x14ac:dyDescent="0.2">
      <c r="A80" s="86">
        <v>1</v>
      </c>
      <c r="B80" s="151">
        <f t="shared" si="4"/>
        <v>45658</v>
      </c>
      <c r="C80" s="164">
        <f t="shared" ref="C80:D91" si="23">+C56</f>
        <v>45693</v>
      </c>
      <c r="D80" s="164">
        <f t="shared" si="23"/>
        <v>45712</v>
      </c>
      <c r="E80" s="152" t="s">
        <v>9</v>
      </c>
      <c r="F80" s="86">
        <v>9</v>
      </c>
      <c r="G80" s="153">
        <v>67</v>
      </c>
      <c r="H80" s="154">
        <f t="shared" si="5"/>
        <v>4.6134187490356018</v>
      </c>
      <c r="I80" s="154">
        <f t="shared" si="20"/>
        <v>4.8679546082756167</v>
      </c>
      <c r="J80" s="105">
        <f t="shared" si="2"/>
        <v>326.15295875446634</v>
      </c>
      <c r="K80" s="155">
        <f t="shared" si="11"/>
        <v>309.09905618538534</v>
      </c>
      <c r="L80" s="156">
        <f t="shared" si="19"/>
        <v>17.053902569081004</v>
      </c>
      <c r="M80" s="105">
        <f t="shared" si="7"/>
        <v>1.2210844177545666</v>
      </c>
      <c r="N80" s="157">
        <f t="shared" si="8"/>
        <v>18.274986986835572</v>
      </c>
      <c r="O80" s="105">
        <v>0</v>
      </c>
      <c r="P80" s="105">
        <v>0</v>
      </c>
      <c r="Q80" s="105">
        <v>0</v>
      </c>
      <c r="R80" s="157">
        <f t="shared" si="9"/>
        <v>18.274986986835572</v>
      </c>
    </row>
    <row r="81" spans="1:18" x14ac:dyDescent="0.2">
      <c r="A81" s="86">
        <v>2</v>
      </c>
      <c r="B81" s="151">
        <f t="shared" si="4"/>
        <v>45689</v>
      </c>
      <c r="C81" s="167">
        <f t="shared" si="23"/>
        <v>45721</v>
      </c>
      <c r="D81" s="167">
        <f t="shared" si="23"/>
        <v>45740</v>
      </c>
      <c r="E81" s="158" t="s">
        <v>9</v>
      </c>
      <c r="F81" s="86">
        <v>9</v>
      </c>
      <c r="G81" s="153">
        <v>71</v>
      </c>
      <c r="H81" s="154">
        <f t="shared" si="5"/>
        <v>4.6134187490356018</v>
      </c>
      <c r="I81" s="154">
        <f t="shared" si="20"/>
        <v>4.8679546082756167</v>
      </c>
      <c r="J81" s="105">
        <f t="shared" si="2"/>
        <v>345.62477718756878</v>
      </c>
      <c r="K81" s="155">
        <f t="shared" si="11"/>
        <v>327.55273118152775</v>
      </c>
      <c r="L81" s="156">
        <f t="shared" si="19"/>
        <v>18.072046006041035</v>
      </c>
      <c r="M81" s="105">
        <f t="shared" si="7"/>
        <v>1.2939849800085705</v>
      </c>
      <c r="N81" s="157">
        <f t="shared" si="8"/>
        <v>19.366030986049605</v>
      </c>
      <c r="O81" s="105">
        <v>0</v>
      </c>
      <c r="P81" s="105">
        <v>0</v>
      </c>
      <c r="Q81" s="105">
        <v>0</v>
      </c>
      <c r="R81" s="157">
        <f t="shared" si="9"/>
        <v>19.366030986049605</v>
      </c>
    </row>
    <row r="82" spans="1:18" x14ac:dyDescent="0.2">
      <c r="A82" s="86">
        <v>3</v>
      </c>
      <c r="B82" s="151">
        <f t="shared" si="4"/>
        <v>45717</v>
      </c>
      <c r="C82" s="167">
        <f t="shared" si="23"/>
        <v>45750</v>
      </c>
      <c r="D82" s="167">
        <f t="shared" si="23"/>
        <v>45771</v>
      </c>
      <c r="E82" s="158" t="s">
        <v>9</v>
      </c>
      <c r="F82" s="86">
        <v>9</v>
      </c>
      <c r="G82" s="153">
        <v>49</v>
      </c>
      <c r="H82" s="154">
        <f t="shared" si="5"/>
        <v>4.6134187490356018</v>
      </c>
      <c r="I82" s="154">
        <f t="shared" si="20"/>
        <v>4.8679546082756167</v>
      </c>
      <c r="J82" s="105">
        <f t="shared" si="2"/>
        <v>238.52977580550521</v>
      </c>
      <c r="K82" s="155">
        <f t="shared" si="11"/>
        <v>226.05751870274449</v>
      </c>
      <c r="L82" s="156">
        <f>+J82-K82</f>
        <v>12.472257102760722</v>
      </c>
      <c r="M82" s="105">
        <f t="shared" si="7"/>
        <v>0.89303188761154861</v>
      </c>
      <c r="N82" s="157">
        <f t="shared" si="8"/>
        <v>13.365288990372271</v>
      </c>
      <c r="O82" s="105">
        <v>0</v>
      </c>
      <c r="P82" s="105">
        <v>0</v>
      </c>
      <c r="Q82" s="105">
        <v>0</v>
      </c>
      <c r="R82" s="157">
        <f t="shared" si="9"/>
        <v>13.365288990372271</v>
      </c>
    </row>
    <row r="83" spans="1:18" ht="12" customHeight="1" x14ac:dyDescent="0.2">
      <c r="A83" s="86">
        <v>4</v>
      </c>
      <c r="B83" s="151">
        <f t="shared" si="4"/>
        <v>45748</v>
      </c>
      <c r="C83" s="167">
        <f t="shared" si="23"/>
        <v>45782</v>
      </c>
      <c r="D83" s="167">
        <f t="shared" si="23"/>
        <v>45803</v>
      </c>
      <c r="E83" s="1" t="s">
        <v>9</v>
      </c>
      <c r="F83" s="86">
        <v>9</v>
      </c>
      <c r="G83" s="153">
        <v>37</v>
      </c>
      <c r="H83" s="154">
        <f t="shared" si="5"/>
        <v>4.6134187490356018</v>
      </c>
      <c r="I83" s="154">
        <f t="shared" si="20"/>
        <v>4.8679546082756167</v>
      </c>
      <c r="J83" s="105">
        <f t="shared" si="2"/>
        <v>180.11432050619783</v>
      </c>
      <c r="K83" s="155">
        <f t="shared" si="11"/>
        <v>170.69649371431726</v>
      </c>
      <c r="L83" s="156">
        <f t="shared" ref="L83:L93" si="24">+J83-K83</f>
        <v>9.4178267918805716</v>
      </c>
      <c r="M83" s="105">
        <f t="shared" si="7"/>
        <v>0.67433020084953676</v>
      </c>
      <c r="N83" s="157">
        <f t="shared" si="8"/>
        <v>10.092156992730109</v>
      </c>
      <c r="O83" s="105">
        <v>0</v>
      </c>
      <c r="P83" s="105">
        <v>0</v>
      </c>
      <c r="Q83" s="105">
        <v>0</v>
      </c>
      <c r="R83" s="157">
        <f t="shared" si="9"/>
        <v>10.092156992730109</v>
      </c>
    </row>
    <row r="84" spans="1:18" ht="12" customHeight="1" x14ac:dyDescent="0.2">
      <c r="A84" s="86">
        <v>5</v>
      </c>
      <c r="B84" s="151">
        <f t="shared" si="4"/>
        <v>45778</v>
      </c>
      <c r="C84" s="167">
        <f t="shared" si="23"/>
        <v>45812</v>
      </c>
      <c r="D84" s="167">
        <f t="shared" si="23"/>
        <v>45832</v>
      </c>
      <c r="E84" s="1" t="s">
        <v>9</v>
      </c>
      <c r="F84" s="86">
        <v>9</v>
      </c>
      <c r="G84" s="153">
        <v>50</v>
      </c>
      <c r="H84" s="154">
        <f t="shared" si="5"/>
        <v>4.6134187490356018</v>
      </c>
      <c r="I84" s="154">
        <f t="shared" si="20"/>
        <v>4.8679546082756167</v>
      </c>
      <c r="J84" s="105">
        <f t="shared" si="2"/>
        <v>243.39773041378083</v>
      </c>
      <c r="K84" s="155">
        <f t="shared" si="11"/>
        <v>230.67093745178008</v>
      </c>
      <c r="L84" s="156">
        <f t="shared" si="24"/>
        <v>12.726792962000758</v>
      </c>
      <c r="M84" s="105">
        <f t="shared" si="7"/>
        <v>0.91125702817504972</v>
      </c>
      <c r="N84" s="157">
        <f t="shared" si="8"/>
        <v>13.638049990175807</v>
      </c>
      <c r="O84" s="105">
        <v>0</v>
      </c>
      <c r="P84" s="105">
        <v>0</v>
      </c>
      <c r="Q84" s="105">
        <v>0</v>
      </c>
      <c r="R84" s="157">
        <f t="shared" si="9"/>
        <v>13.638049990175807</v>
      </c>
    </row>
    <row r="85" spans="1:18" x14ac:dyDescent="0.2">
      <c r="A85" s="86">
        <v>6</v>
      </c>
      <c r="B85" s="151">
        <f t="shared" si="4"/>
        <v>45809</v>
      </c>
      <c r="C85" s="167">
        <f t="shared" si="23"/>
        <v>45841</v>
      </c>
      <c r="D85" s="167">
        <f t="shared" si="23"/>
        <v>45862</v>
      </c>
      <c r="E85" s="1" t="s">
        <v>9</v>
      </c>
      <c r="F85" s="86">
        <v>9</v>
      </c>
      <c r="G85" s="153">
        <v>54</v>
      </c>
      <c r="H85" s="154">
        <f t="shared" ref="H85:H148" si="25">+$K$3</f>
        <v>4.6134187490356018</v>
      </c>
      <c r="I85" s="154">
        <f t="shared" si="20"/>
        <v>4.8679546082756167</v>
      </c>
      <c r="J85" s="105">
        <f t="shared" si="2"/>
        <v>262.86954884688328</v>
      </c>
      <c r="K85" s="155">
        <f t="shared" si="11"/>
        <v>249.12461244792249</v>
      </c>
      <c r="L85" s="156">
        <f t="shared" si="24"/>
        <v>13.744936398960789</v>
      </c>
      <c r="M85" s="105">
        <f t="shared" ref="M85:M148" si="26">G85/$G$212*$M$14</f>
        <v>0.9841575904290536</v>
      </c>
      <c r="N85" s="157">
        <f t="shared" ref="N85:N148" si="27">SUM(L85:M85)</f>
        <v>14.729093989389842</v>
      </c>
      <c r="O85" s="105">
        <v>0</v>
      </c>
      <c r="P85" s="105">
        <v>0</v>
      </c>
      <c r="Q85" s="105">
        <v>0</v>
      </c>
      <c r="R85" s="157">
        <f t="shared" ref="R85:R148" si="28">+N85-Q85</f>
        <v>14.729093989389842</v>
      </c>
    </row>
    <row r="86" spans="1:18" x14ac:dyDescent="0.2">
      <c r="A86" s="86">
        <v>7</v>
      </c>
      <c r="B86" s="151">
        <f t="shared" si="4"/>
        <v>45839</v>
      </c>
      <c r="C86" s="167">
        <f t="shared" si="23"/>
        <v>45874</v>
      </c>
      <c r="D86" s="167">
        <f t="shared" si="23"/>
        <v>45894</v>
      </c>
      <c r="E86" s="1" t="s">
        <v>9</v>
      </c>
      <c r="F86" s="86">
        <v>9</v>
      </c>
      <c r="G86" s="153">
        <v>62</v>
      </c>
      <c r="H86" s="154">
        <f t="shared" si="25"/>
        <v>4.6134187490356018</v>
      </c>
      <c r="I86" s="154">
        <f t="shared" si="20"/>
        <v>4.8679546082756167</v>
      </c>
      <c r="J86" s="105">
        <f t="shared" si="2"/>
        <v>301.81318571308822</v>
      </c>
      <c r="K86" s="155">
        <f t="shared" si="11"/>
        <v>286.03196244020734</v>
      </c>
      <c r="L86" s="156">
        <f t="shared" si="24"/>
        <v>15.781223272880879</v>
      </c>
      <c r="M86" s="105">
        <f t="shared" si="26"/>
        <v>1.1299587149370616</v>
      </c>
      <c r="N86" s="157">
        <f t="shared" si="27"/>
        <v>16.91118198781794</v>
      </c>
      <c r="O86" s="105">
        <v>0</v>
      </c>
      <c r="P86" s="105">
        <v>0</v>
      </c>
      <c r="Q86" s="105">
        <v>0</v>
      </c>
      <c r="R86" s="157">
        <f t="shared" si="28"/>
        <v>16.91118198781794</v>
      </c>
    </row>
    <row r="87" spans="1:18" x14ac:dyDescent="0.2">
      <c r="A87" s="86">
        <v>8</v>
      </c>
      <c r="B87" s="151">
        <f t="shared" si="4"/>
        <v>45870</v>
      </c>
      <c r="C87" s="167">
        <f t="shared" si="23"/>
        <v>45904</v>
      </c>
      <c r="D87" s="167">
        <f t="shared" si="23"/>
        <v>45924</v>
      </c>
      <c r="E87" s="1" t="s">
        <v>9</v>
      </c>
      <c r="F87" s="86">
        <v>9</v>
      </c>
      <c r="G87" s="153">
        <v>55</v>
      </c>
      <c r="H87" s="154">
        <f t="shared" si="25"/>
        <v>4.6134187490356018</v>
      </c>
      <c r="I87" s="154">
        <f t="shared" si="20"/>
        <v>4.8679546082756167</v>
      </c>
      <c r="J87" s="105">
        <f t="shared" si="2"/>
        <v>267.7375034551589</v>
      </c>
      <c r="K87" s="155">
        <f t="shared" si="11"/>
        <v>253.7380311969581</v>
      </c>
      <c r="L87" s="156">
        <f t="shared" si="24"/>
        <v>13.999472258200797</v>
      </c>
      <c r="M87" s="105">
        <f t="shared" si="26"/>
        <v>1.0023827309925546</v>
      </c>
      <c r="N87" s="157">
        <f t="shared" si="27"/>
        <v>15.001854989193351</v>
      </c>
      <c r="O87" s="105">
        <v>0</v>
      </c>
      <c r="P87" s="105">
        <v>0</v>
      </c>
      <c r="Q87" s="105">
        <v>0</v>
      </c>
      <c r="R87" s="157">
        <f t="shared" si="28"/>
        <v>15.001854989193351</v>
      </c>
    </row>
    <row r="88" spans="1:18" x14ac:dyDescent="0.2">
      <c r="A88" s="86">
        <v>9</v>
      </c>
      <c r="B88" s="151">
        <f t="shared" si="4"/>
        <v>45901</v>
      </c>
      <c r="C88" s="167">
        <f t="shared" si="23"/>
        <v>45933</v>
      </c>
      <c r="D88" s="167">
        <f t="shared" si="23"/>
        <v>45954</v>
      </c>
      <c r="E88" s="1" t="s">
        <v>9</v>
      </c>
      <c r="F88" s="86">
        <v>9</v>
      </c>
      <c r="G88" s="153">
        <v>50</v>
      </c>
      <c r="H88" s="154">
        <f t="shared" si="25"/>
        <v>4.6134187490356018</v>
      </c>
      <c r="I88" s="154">
        <f t="shared" si="20"/>
        <v>4.8679546082756167</v>
      </c>
      <c r="J88" s="105">
        <f t="shared" si="2"/>
        <v>243.39773041378083</v>
      </c>
      <c r="K88" s="155">
        <f t="shared" si="11"/>
        <v>230.67093745178008</v>
      </c>
      <c r="L88" s="156">
        <f t="shared" si="24"/>
        <v>12.726792962000758</v>
      </c>
      <c r="M88" s="105">
        <f t="shared" si="26"/>
        <v>0.91125702817504972</v>
      </c>
      <c r="N88" s="157">
        <f t="shared" si="27"/>
        <v>13.638049990175807</v>
      </c>
      <c r="O88" s="105">
        <v>0</v>
      </c>
      <c r="P88" s="105">
        <v>0</v>
      </c>
      <c r="Q88" s="105">
        <v>0</v>
      </c>
      <c r="R88" s="157">
        <f t="shared" si="28"/>
        <v>13.638049990175807</v>
      </c>
    </row>
    <row r="89" spans="1:18" x14ac:dyDescent="0.2">
      <c r="A89" s="86">
        <v>10</v>
      </c>
      <c r="B89" s="151">
        <f t="shared" si="4"/>
        <v>45931</v>
      </c>
      <c r="C89" s="167">
        <f t="shared" si="23"/>
        <v>45966</v>
      </c>
      <c r="D89" s="167">
        <f t="shared" si="23"/>
        <v>45985</v>
      </c>
      <c r="E89" s="1" t="s">
        <v>9</v>
      </c>
      <c r="F89" s="86">
        <v>9</v>
      </c>
      <c r="G89" s="153">
        <v>47</v>
      </c>
      <c r="H89" s="154">
        <f t="shared" si="25"/>
        <v>4.6134187490356018</v>
      </c>
      <c r="I89" s="154">
        <f t="shared" si="20"/>
        <v>4.8679546082756167</v>
      </c>
      <c r="J89" s="105">
        <f t="shared" si="2"/>
        <v>228.79386658895399</v>
      </c>
      <c r="K89" s="155">
        <f t="shared" si="11"/>
        <v>216.83068120467328</v>
      </c>
      <c r="L89" s="156">
        <f t="shared" si="24"/>
        <v>11.963185384280706</v>
      </c>
      <c r="M89" s="105">
        <f t="shared" si="26"/>
        <v>0.85658160648454662</v>
      </c>
      <c r="N89" s="157">
        <f t="shared" si="27"/>
        <v>12.819766990765253</v>
      </c>
      <c r="O89" s="105">
        <v>0</v>
      </c>
      <c r="P89" s="105">
        <v>0</v>
      </c>
      <c r="Q89" s="105">
        <v>0</v>
      </c>
      <c r="R89" s="157">
        <f t="shared" si="28"/>
        <v>12.819766990765253</v>
      </c>
    </row>
    <row r="90" spans="1:18" x14ac:dyDescent="0.2">
      <c r="A90" s="86">
        <v>11</v>
      </c>
      <c r="B90" s="151">
        <f t="shared" si="4"/>
        <v>45962</v>
      </c>
      <c r="C90" s="167">
        <f t="shared" si="23"/>
        <v>45994</v>
      </c>
      <c r="D90" s="167">
        <f t="shared" si="23"/>
        <v>46015</v>
      </c>
      <c r="E90" s="1" t="s">
        <v>9</v>
      </c>
      <c r="F90" s="86">
        <v>9</v>
      </c>
      <c r="G90" s="153">
        <v>48</v>
      </c>
      <c r="H90" s="154">
        <f t="shared" si="25"/>
        <v>4.6134187490356018</v>
      </c>
      <c r="I90" s="154">
        <f t="shared" si="20"/>
        <v>4.8679546082756167</v>
      </c>
      <c r="J90" s="105">
        <f t="shared" si="2"/>
        <v>233.66182119722959</v>
      </c>
      <c r="K90" s="155">
        <f t="shared" si="11"/>
        <v>221.44409995370887</v>
      </c>
      <c r="L90" s="156">
        <f t="shared" si="24"/>
        <v>12.217721243520714</v>
      </c>
      <c r="M90" s="105">
        <f t="shared" si="26"/>
        <v>0.87480674704804773</v>
      </c>
      <c r="N90" s="157">
        <f t="shared" si="27"/>
        <v>13.092527990568762</v>
      </c>
      <c r="O90" s="105">
        <v>0</v>
      </c>
      <c r="P90" s="105">
        <v>0</v>
      </c>
      <c r="Q90" s="105">
        <v>0</v>
      </c>
      <c r="R90" s="157">
        <f t="shared" si="28"/>
        <v>13.092527990568762</v>
      </c>
    </row>
    <row r="91" spans="1:18" s="171" customFormat="1" x14ac:dyDescent="0.2">
      <c r="A91" s="86">
        <v>12</v>
      </c>
      <c r="B91" s="169">
        <f t="shared" si="4"/>
        <v>45992</v>
      </c>
      <c r="C91" s="167">
        <f t="shared" si="23"/>
        <v>46028</v>
      </c>
      <c r="D91" s="167">
        <f t="shared" si="23"/>
        <v>46048</v>
      </c>
      <c r="E91" s="170" t="s">
        <v>9</v>
      </c>
      <c r="F91" s="128">
        <v>9</v>
      </c>
      <c r="G91" s="190">
        <v>58</v>
      </c>
      <c r="H91" s="159">
        <f t="shared" si="25"/>
        <v>4.6134187490356018</v>
      </c>
      <c r="I91" s="159">
        <f t="shared" si="20"/>
        <v>4.8679546082756167</v>
      </c>
      <c r="J91" s="160">
        <f t="shared" si="2"/>
        <v>282.34136727998577</v>
      </c>
      <c r="K91" s="161">
        <f t="shared" si="11"/>
        <v>267.57828744406493</v>
      </c>
      <c r="L91" s="162">
        <f t="shared" si="24"/>
        <v>14.763079835920848</v>
      </c>
      <c r="M91" s="160">
        <f t="shared" si="26"/>
        <v>1.0570581526830576</v>
      </c>
      <c r="N91" s="191">
        <f t="shared" si="27"/>
        <v>15.820137988603905</v>
      </c>
      <c r="O91" s="160">
        <v>0</v>
      </c>
      <c r="P91" s="160">
        <v>0</v>
      </c>
      <c r="Q91" s="160">
        <v>0</v>
      </c>
      <c r="R91" s="191">
        <f t="shared" si="28"/>
        <v>15.820137988603905</v>
      </c>
    </row>
    <row r="92" spans="1:18" x14ac:dyDescent="0.2">
      <c r="A92" s="86">
        <v>1</v>
      </c>
      <c r="B92" s="151">
        <f t="shared" si="4"/>
        <v>45658</v>
      </c>
      <c r="C92" s="164">
        <f t="shared" ref="C92:D95" si="29">+C80</f>
        <v>45693</v>
      </c>
      <c r="D92" s="164">
        <f t="shared" si="29"/>
        <v>45712</v>
      </c>
      <c r="E92" s="152" t="s">
        <v>8</v>
      </c>
      <c r="F92" s="86">
        <v>9</v>
      </c>
      <c r="G92" s="153">
        <v>89</v>
      </c>
      <c r="H92" s="154">
        <f t="shared" si="25"/>
        <v>4.6134187490356018</v>
      </c>
      <c r="I92" s="154">
        <f t="shared" si="20"/>
        <v>4.8679546082756167</v>
      </c>
      <c r="J92" s="105">
        <f t="shared" si="2"/>
        <v>433.24796013652985</v>
      </c>
      <c r="K92" s="155">
        <f t="shared" si="11"/>
        <v>410.59426866416857</v>
      </c>
      <c r="L92" s="156">
        <f t="shared" si="24"/>
        <v>22.653691472361288</v>
      </c>
      <c r="M92" s="105">
        <f t="shared" si="26"/>
        <v>1.6220375101515883</v>
      </c>
      <c r="N92" s="157">
        <f t="shared" si="27"/>
        <v>24.275728982512877</v>
      </c>
      <c r="O92" s="105">
        <v>0</v>
      </c>
      <c r="P92" s="105">
        <v>0</v>
      </c>
      <c r="Q92" s="105">
        <v>0</v>
      </c>
      <c r="R92" s="157">
        <f t="shared" si="28"/>
        <v>24.275728982512877</v>
      </c>
    </row>
    <row r="93" spans="1:18" x14ac:dyDescent="0.2">
      <c r="A93" s="86">
        <v>2</v>
      </c>
      <c r="B93" s="151">
        <f t="shared" si="4"/>
        <v>45689</v>
      </c>
      <c r="C93" s="167">
        <f t="shared" si="29"/>
        <v>45721</v>
      </c>
      <c r="D93" s="167">
        <f t="shared" si="29"/>
        <v>45740</v>
      </c>
      <c r="E93" s="158" t="s">
        <v>8</v>
      </c>
      <c r="F93" s="86">
        <v>9</v>
      </c>
      <c r="G93" s="153">
        <v>102</v>
      </c>
      <c r="H93" s="154">
        <f t="shared" si="25"/>
        <v>4.6134187490356018</v>
      </c>
      <c r="I93" s="154">
        <f t="shared" si="20"/>
        <v>4.8679546082756167</v>
      </c>
      <c r="J93" s="105">
        <f t="shared" si="2"/>
        <v>496.53137004411292</v>
      </c>
      <c r="K93" s="155">
        <f t="shared" si="11"/>
        <v>470.56871240163139</v>
      </c>
      <c r="L93" s="156">
        <f t="shared" si="24"/>
        <v>25.962657642481531</v>
      </c>
      <c r="M93" s="105">
        <f t="shared" si="26"/>
        <v>1.8589643374771012</v>
      </c>
      <c r="N93" s="157">
        <f t="shared" si="27"/>
        <v>27.821621979958632</v>
      </c>
      <c r="O93" s="105">
        <v>0</v>
      </c>
      <c r="P93" s="105">
        <v>0</v>
      </c>
      <c r="Q93" s="105">
        <v>0</v>
      </c>
      <c r="R93" s="157">
        <f t="shared" si="28"/>
        <v>27.821621979958632</v>
      </c>
    </row>
    <row r="94" spans="1:18" x14ac:dyDescent="0.2">
      <c r="A94" s="86">
        <v>3</v>
      </c>
      <c r="B94" s="151">
        <f t="shared" si="4"/>
        <v>45717</v>
      </c>
      <c r="C94" s="167">
        <f t="shared" si="29"/>
        <v>45750</v>
      </c>
      <c r="D94" s="167">
        <f t="shared" si="29"/>
        <v>45771</v>
      </c>
      <c r="E94" s="158" t="s">
        <v>8</v>
      </c>
      <c r="F94" s="86">
        <v>9</v>
      </c>
      <c r="G94" s="153">
        <v>64</v>
      </c>
      <c r="H94" s="154">
        <f t="shared" si="25"/>
        <v>4.6134187490356018</v>
      </c>
      <c r="I94" s="154">
        <f t="shared" si="20"/>
        <v>4.8679546082756167</v>
      </c>
      <c r="J94" s="105">
        <f t="shared" si="2"/>
        <v>311.54909492963947</v>
      </c>
      <c r="K94" s="155">
        <f t="shared" ref="K94:K133" si="30">+$G94*H94</f>
        <v>295.25879993827851</v>
      </c>
      <c r="L94" s="156">
        <f>+J94-K94</f>
        <v>16.290294991360952</v>
      </c>
      <c r="M94" s="105">
        <f t="shared" si="26"/>
        <v>1.1664089960640633</v>
      </c>
      <c r="N94" s="157">
        <f t="shared" si="27"/>
        <v>17.456703987425016</v>
      </c>
      <c r="O94" s="105">
        <v>0</v>
      </c>
      <c r="P94" s="105">
        <v>0</v>
      </c>
      <c r="Q94" s="105">
        <v>0</v>
      </c>
      <c r="R94" s="157">
        <f t="shared" si="28"/>
        <v>17.456703987425016</v>
      </c>
    </row>
    <row r="95" spans="1:18" x14ac:dyDescent="0.2">
      <c r="A95" s="86">
        <v>4</v>
      </c>
      <c r="B95" s="151">
        <f t="shared" si="4"/>
        <v>45748</v>
      </c>
      <c r="C95" s="167">
        <f t="shared" si="29"/>
        <v>45782</v>
      </c>
      <c r="D95" s="167">
        <f t="shared" si="29"/>
        <v>45803</v>
      </c>
      <c r="E95" s="158" t="s">
        <v>8</v>
      </c>
      <c r="F95" s="86">
        <v>9</v>
      </c>
      <c r="G95" s="153">
        <v>71</v>
      </c>
      <c r="H95" s="154">
        <f t="shared" si="25"/>
        <v>4.6134187490356018</v>
      </c>
      <c r="I95" s="154">
        <f t="shared" si="20"/>
        <v>4.8679546082756167</v>
      </c>
      <c r="J95" s="105">
        <f t="shared" si="2"/>
        <v>345.62477718756878</v>
      </c>
      <c r="K95" s="155">
        <f t="shared" si="30"/>
        <v>327.55273118152775</v>
      </c>
      <c r="L95" s="156">
        <f t="shared" ref="L95:L105" si="31">+J95-K95</f>
        <v>18.072046006041035</v>
      </c>
      <c r="M95" s="105">
        <f t="shared" si="26"/>
        <v>1.2939849800085705</v>
      </c>
      <c r="N95" s="157">
        <f t="shared" si="27"/>
        <v>19.366030986049605</v>
      </c>
      <c r="O95" s="105">
        <v>0</v>
      </c>
      <c r="P95" s="105">
        <v>0</v>
      </c>
      <c r="Q95" s="105">
        <v>0</v>
      </c>
      <c r="R95" s="157">
        <f t="shared" si="28"/>
        <v>19.366030986049605</v>
      </c>
    </row>
    <row r="96" spans="1:18" x14ac:dyDescent="0.2">
      <c r="A96" s="86">
        <v>5</v>
      </c>
      <c r="B96" s="151">
        <f t="shared" si="4"/>
        <v>45778</v>
      </c>
      <c r="C96" s="167">
        <f t="shared" ref="C96:D116" si="32">+C84</f>
        <v>45812</v>
      </c>
      <c r="D96" s="167">
        <f t="shared" si="32"/>
        <v>45832</v>
      </c>
      <c r="E96" s="1" t="s">
        <v>8</v>
      </c>
      <c r="F96" s="86">
        <v>9</v>
      </c>
      <c r="G96" s="153">
        <v>108</v>
      </c>
      <c r="H96" s="154">
        <f t="shared" si="25"/>
        <v>4.6134187490356018</v>
      </c>
      <c r="I96" s="154">
        <f t="shared" si="20"/>
        <v>4.8679546082756167</v>
      </c>
      <c r="J96" s="105">
        <f t="shared" si="2"/>
        <v>525.73909769376655</v>
      </c>
      <c r="K96" s="155">
        <f t="shared" si="30"/>
        <v>498.24922489584497</v>
      </c>
      <c r="L96" s="156">
        <f t="shared" si="31"/>
        <v>27.489872797921578</v>
      </c>
      <c r="M96" s="105">
        <f t="shared" si="26"/>
        <v>1.9683151808581072</v>
      </c>
      <c r="N96" s="157">
        <f t="shared" si="27"/>
        <v>29.458187978779684</v>
      </c>
      <c r="O96" s="105">
        <v>0</v>
      </c>
      <c r="P96" s="105">
        <v>0</v>
      </c>
      <c r="Q96" s="105">
        <v>0</v>
      </c>
      <c r="R96" s="157">
        <f t="shared" si="28"/>
        <v>29.458187978779684</v>
      </c>
    </row>
    <row r="97" spans="1:18" x14ac:dyDescent="0.2">
      <c r="A97" s="86">
        <v>6</v>
      </c>
      <c r="B97" s="151">
        <f t="shared" si="4"/>
        <v>45809</v>
      </c>
      <c r="C97" s="167">
        <f t="shared" si="32"/>
        <v>45841</v>
      </c>
      <c r="D97" s="167">
        <f t="shared" si="32"/>
        <v>45862</v>
      </c>
      <c r="E97" s="1" t="s">
        <v>8</v>
      </c>
      <c r="F97" s="86">
        <v>9</v>
      </c>
      <c r="G97" s="153">
        <v>130</v>
      </c>
      <c r="H97" s="154">
        <f t="shared" si="25"/>
        <v>4.6134187490356018</v>
      </c>
      <c r="I97" s="154">
        <f t="shared" si="20"/>
        <v>4.8679546082756167</v>
      </c>
      <c r="J97" s="105">
        <f t="shared" si="2"/>
        <v>632.83409907583018</v>
      </c>
      <c r="K97" s="155">
        <f t="shared" si="30"/>
        <v>599.74443737462821</v>
      </c>
      <c r="L97" s="156">
        <f t="shared" si="31"/>
        <v>33.089661701201976</v>
      </c>
      <c r="M97" s="105">
        <f t="shared" si="26"/>
        <v>2.3692682732551291</v>
      </c>
      <c r="N97" s="157">
        <f t="shared" si="27"/>
        <v>35.458929974457106</v>
      </c>
      <c r="O97" s="105">
        <v>0</v>
      </c>
      <c r="P97" s="105">
        <v>0</v>
      </c>
      <c r="Q97" s="105">
        <v>0</v>
      </c>
      <c r="R97" s="157">
        <f t="shared" si="28"/>
        <v>35.458929974457106</v>
      </c>
    </row>
    <row r="98" spans="1:18" x14ac:dyDescent="0.2">
      <c r="A98" s="86">
        <v>7</v>
      </c>
      <c r="B98" s="151">
        <f t="shared" si="4"/>
        <v>45839</v>
      </c>
      <c r="C98" s="167">
        <f t="shared" si="32"/>
        <v>45874</v>
      </c>
      <c r="D98" s="167">
        <f t="shared" si="32"/>
        <v>45894</v>
      </c>
      <c r="E98" s="1" t="s">
        <v>8</v>
      </c>
      <c r="F98" s="86">
        <v>9</v>
      </c>
      <c r="G98" s="153">
        <v>151</v>
      </c>
      <c r="H98" s="154">
        <f t="shared" si="25"/>
        <v>4.6134187490356018</v>
      </c>
      <c r="I98" s="154">
        <f t="shared" si="20"/>
        <v>4.8679546082756167</v>
      </c>
      <c r="J98" s="105">
        <f t="shared" si="2"/>
        <v>735.06114584961813</v>
      </c>
      <c r="K98" s="155">
        <f t="shared" si="30"/>
        <v>696.62623110437585</v>
      </c>
      <c r="L98" s="156">
        <f t="shared" si="31"/>
        <v>38.434914745242281</v>
      </c>
      <c r="M98" s="105">
        <f t="shared" si="26"/>
        <v>2.75199622508865</v>
      </c>
      <c r="N98" s="157">
        <f t="shared" si="27"/>
        <v>41.186910970330928</v>
      </c>
      <c r="O98" s="105">
        <v>0</v>
      </c>
      <c r="P98" s="105">
        <v>0</v>
      </c>
      <c r="Q98" s="105">
        <v>0</v>
      </c>
      <c r="R98" s="157">
        <f t="shared" si="28"/>
        <v>41.186910970330928</v>
      </c>
    </row>
    <row r="99" spans="1:18" x14ac:dyDescent="0.2">
      <c r="A99" s="86">
        <v>8</v>
      </c>
      <c r="B99" s="151">
        <f t="shared" si="4"/>
        <v>45870</v>
      </c>
      <c r="C99" s="167">
        <f t="shared" si="32"/>
        <v>45904</v>
      </c>
      <c r="D99" s="167">
        <f t="shared" si="32"/>
        <v>45924</v>
      </c>
      <c r="E99" s="1" t="s">
        <v>8</v>
      </c>
      <c r="F99" s="86">
        <v>9</v>
      </c>
      <c r="G99" s="153">
        <v>145</v>
      </c>
      <c r="H99" s="154">
        <f t="shared" si="25"/>
        <v>4.6134187490356018</v>
      </c>
      <c r="I99" s="154">
        <f t="shared" si="20"/>
        <v>4.8679546082756167</v>
      </c>
      <c r="J99" s="105">
        <f t="shared" si="2"/>
        <v>705.85341819996438</v>
      </c>
      <c r="K99" s="155">
        <f t="shared" si="30"/>
        <v>668.9457186101622</v>
      </c>
      <c r="L99" s="156">
        <f t="shared" si="31"/>
        <v>36.907699589802178</v>
      </c>
      <c r="M99" s="105">
        <f t="shared" si="26"/>
        <v>2.6426453817076436</v>
      </c>
      <c r="N99" s="157">
        <f t="shared" si="27"/>
        <v>39.550344971509823</v>
      </c>
      <c r="O99" s="105">
        <v>0</v>
      </c>
      <c r="P99" s="105">
        <v>0</v>
      </c>
      <c r="Q99" s="105">
        <v>0</v>
      </c>
      <c r="R99" s="157">
        <f t="shared" si="28"/>
        <v>39.550344971509823</v>
      </c>
    </row>
    <row r="100" spans="1:18" x14ac:dyDescent="0.2">
      <c r="A100" s="86">
        <v>9</v>
      </c>
      <c r="B100" s="151">
        <f t="shared" si="4"/>
        <v>45901</v>
      </c>
      <c r="C100" s="167">
        <f t="shared" si="32"/>
        <v>45933</v>
      </c>
      <c r="D100" s="167">
        <f t="shared" si="32"/>
        <v>45954</v>
      </c>
      <c r="E100" s="1" t="s">
        <v>8</v>
      </c>
      <c r="F100" s="86">
        <v>9</v>
      </c>
      <c r="G100" s="153">
        <v>126</v>
      </c>
      <c r="H100" s="154">
        <f t="shared" si="25"/>
        <v>4.6134187490356018</v>
      </c>
      <c r="I100" s="154">
        <f t="shared" si="20"/>
        <v>4.8679546082756167</v>
      </c>
      <c r="J100" s="105">
        <f t="shared" si="2"/>
        <v>613.36228064272768</v>
      </c>
      <c r="K100" s="155">
        <f t="shared" si="30"/>
        <v>581.29076237848585</v>
      </c>
      <c r="L100" s="156">
        <f t="shared" si="31"/>
        <v>32.071518264241831</v>
      </c>
      <c r="M100" s="105">
        <f t="shared" si="26"/>
        <v>2.2963677110011251</v>
      </c>
      <c r="N100" s="157">
        <f t="shared" si="27"/>
        <v>34.367885975242956</v>
      </c>
      <c r="O100" s="105">
        <v>0</v>
      </c>
      <c r="P100" s="105">
        <v>0</v>
      </c>
      <c r="Q100" s="105">
        <v>0</v>
      </c>
      <c r="R100" s="157">
        <f t="shared" si="28"/>
        <v>34.367885975242956</v>
      </c>
    </row>
    <row r="101" spans="1:18" x14ac:dyDescent="0.2">
      <c r="A101" s="86">
        <v>10</v>
      </c>
      <c r="B101" s="151">
        <f t="shared" si="4"/>
        <v>45931</v>
      </c>
      <c r="C101" s="167">
        <f t="shared" si="32"/>
        <v>45966</v>
      </c>
      <c r="D101" s="167">
        <f t="shared" si="32"/>
        <v>45985</v>
      </c>
      <c r="E101" s="1" t="s">
        <v>8</v>
      </c>
      <c r="F101" s="86">
        <v>9</v>
      </c>
      <c r="G101" s="153">
        <v>106</v>
      </c>
      <c r="H101" s="154">
        <f t="shared" si="25"/>
        <v>4.6134187490356018</v>
      </c>
      <c r="I101" s="154">
        <f t="shared" si="20"/>
        <v>4.8679546082756167</v>
      </c>
      <c r="J101" s="105">
        <f t="shared" si="2"/>
        <v>516.00318847721542</v>
      </c>
      <c r="K101" s="155">
        <f t="shared" si="30"/>
        <v>489.0223873977738</v>
      </c>
      <c r="L101" s="156">
        <f t="shared" si="31"/>
        <v>26.980801079441619</v>
      </c>
      <c r="M101" s="105">
        <f t="shared" si="26"/>
        <v>1.9318648997311052</v>
      </c>
      <c r="N101" s="157">
        <f t="shared" si="27"/>
        <v>28.912665979172726</v>
      </c>
      <c r="O101" s="105">
        <v>0</v>
      </c>
      <c r="P101" s="105">
        <v>0</v>
      </c>
      <c r="Q101" s="105">
        <v>0</v>
      </c>
      <c r="R101" s="157">
        <f t="shared" si="28"/>
        <v>28.912665979172726</v>
      </c>
    </row>
    <row r="102" spans="1:18" x14ac:dyDescent="0.2">
      <c r="A102" s="86">
        <v>11</v>
      </c>
      <c r="B102" s="151">
        <f t="shared" si="4"/>
        <v>45962</v>
      </c>
      <c r="C102" s="167">
        <f t="shared" si="32"/>
        <v>45994</v>
      </c>
      <c r="D102" s="167">
        <f t="shared" si="32"/>
        <v>46015</v>
      </c>
      <c r="E102" s="1" t="s">
        <v>8</v>
      </c>
      <c r="F102" s="86">
        <v>9</v>
      </c>
      <c r="G102" s="153">
        <v>67</v>
      </c>
      <c r="H102" s="154">
        <f t="shared" si="25"/>
        <v>4.6134187490356018</v>
      </c>
      <c r="I102" s="154">
        <f t="shared" si="20"/>
        <v>4.8679546082756167</v>
      </c>
      <c r="J102" s="105">
        <f t="shared" si="2"/>
        <v>326.15295875446634</v>
      </c>
      <c r="K102" s="155">
        <f t="shared" si="30"/>
        <v>309.09905618538534</v>
      </c>
      <c r="L102" s="156">
        <f t="shared" si="31"/>
        <v>17.053902569081004</v>
      </c>
      <c r="M102" s="105">
        <f t="shared" si="26"/>
        <v>1.2210844177545666</v>
      </c>
      <c r="N102" s="157">
        <f t="shared" si="27"/>
        <v>18.274986986835572</v>
      </c>
      <c r="O102" s="105">
        <v>0</v>
      </c>
      <c r="P102" s="105">
        <v>0</v>
      </c>
      <c r="Q102" s="105">
        <v>0</v>
      </c>
      <c r="R102" s="157">
        <f t="shared" si="28"/>
        <v>18.274986986835572</v>
      </c>
    </row>
    <row r="103" spans="1:18" s="171" customFormat="1" x14ac:dyDescent="0.2">
      <c r="A103" s="86">
        <v>12</v>
      </c>
      <c r="B103" s="169">
        <f t="shared" si="4"/>
        <v>45992</v>
      </c>
      <c r="C103" s="167">
        <f t="shared" si="32"/>
        <v>46028</v>
      </c>
      <c r="D103" s="167">
        <f t="shared" si="32"/>
        <v>46048</v>
      </c>
      <c r="E103" s="170" t="s">
        <v>8</v>
      </c>
      <c r="F103" s="128">
        <v>9</v>
      </c>
      <c r="G103" s="190">
        <v>82</v>
      </c>
      <c r="H103" s="159">
        <f t="shared" si="25"/>
        <v>4.6134187490356018</v>
      </c>
      <c r="I103" s="159">
        <f t="shared" si="20"/>
        <v>4.8679546082756167</v>
      </c>
      <c r="J103" s="160">
        <f t="shared" si="2"/>
        <v>399.17227787860054</v>
      </c>
      <c r="K103" s="161">
        <f t="shared" si="30"/>
        <v>378.30033742091933</v>
      </c>
      <c r="L103" s="162">
        <f t="shared" si="31"/>
        <v>20.871940457681205</v>
      </c>
      <c r="M103" s="160">
        <f t="shared" si="26"/>
        <v>1.4944615262070815</v>
      </c>
      <c r="N103" s="191">
        <f t="shared" si="27"/>
        <v>22.366401983888288</v>
      </c>
      <c r="O103" s="160">
        <v>0</v>
      </c>
      <c r="P103" s="160">
        <v>0</v>
      </c>
      <c r="Q103" s="160">
        <v>0</v>
      </c>
      <c r="R103" s="191">
        <f t="shared" si="28"/>
        <v>22.366401983888288</v>
      </c>
    </row>
    <row r="104" spans="1:18" x14ac:dyDescent="0.2">
      <c r="A104" s="86">
        <v>1</v>
      </c>
      <c r="B104" s="151">
        <f t="shared" si="4"/>
        <v>45658</v>
      </c>
      <c r="C104" s="164">
        <f t="shared" si="32"/>
        <v>45693</v>
      </c>
      <c r="D104" s="164">
        <f t="shared" si="32"/>
        <v>45712</v>
      </c>
      <c r="E104" s="152" t="s">
        <v>19</v>
      </c>
      <c r="F104" s="86">
        <v>9</v>
      </c>
      <c r="G104" s="153">
        <v>70</v>
      </c>
      <c r="H104" s="154">
        <f t="shared" si="25"/>
        <v>4.6134187490356018</v>
      </c>
      <c r="I104" s="154">
        <f t="shared" si="20"/>
        <v>4.8679546082756167</v>
      </c>
      <c r="J104" s="105">
        <f t="shared" si="2"/>
        <v>340.75682257929316</v>
      </c>
      <c r="K104" s="155">
        <f t="shared" si="30"/>
        <v>322.9393124324921</v>
      </c>
      <c r="L104" s="156">
        <f t="shared" si="31"/>
        <v>17.817510146801055</v>
      </c>
      <c r="M104" s="105">
        <f t="shared" si="26"/>
        <v>1.2757598394450695</v>
      </c>
      <c r="N104" s="157">
        <f t="shared" si="27"/>
        <v>19.093269986246124</v>
      </c>
      <c r="O104" s="105">
        <v>0</v>
      </c>
      <c r="P104" s="105">
        <v>0</v>
      </c>
      <c r="Q104" s="105">
        <v>0</v>
      </c>
      <c r="R104" s="157">
        <f t="shared" si="28"/>
        <v>19.093269986246124</v>
      </c>
    </row>
    <row r="105" spans="1:18" x14ac:dyDescent="0.2">
      <c r="A105" s="86">
        <v>2</v>
      </c>
      <c r="B105" s="151">
        <f t="shared" si="4"/>
        <v>45689</v>
      </c>
      <c r="C105" s="167">
        <f t="shared" si="32"/>
        <v>45721</v>
      </c>
      <c r="D105" s="167">
        <f t="shared" si="32"/>
        <v>45740</v>
      </c>
      <c r="E105" s="158" t="s">
        <v>19</v>
      </c>
      <c r="F105" s="86">
        <v>9</v>
      </c>
      <c r="G105" s="153">
        <v>50</v>
      </c>
      <c r="H105" s="154">
        <f t="shared" si="25"/>
        <v>4.6134187490356018</v>
      </c>
      <c r="I105" s="154">
        <f t="shared" si="20"/>
        <v>4.8679546082756167</v>
      </c>
      <c r="J105" s="105">
        <f t="shared" si="2"/>
        <v>243.39773041378083</v>
      </c>
      <c r="K105" s="155">
        <f t="shared" si="30"/>
        <v>230.67093745178008</v>
      </c>
      <c r="L105" s="156">
        <f t="shared" si="31"/>
        <v>12.726792962000758</v>
      </c>
      <c r="M105" s="105">
        <f t="shared" si="26"/>
        <v>0.91125702817504972</v>
      </c>
      <c r="N105" s="157">
        <f t="shared" si="27"/>
        <v>13.638049990175807</v>
      </c>
      <c r="O105" s="105">
        <v>0</v>
      </c>
      <c r="P105" s="105">
        <v>0</v>
      </c>
      <c r="Q105" s="105">
        <v>0</v>
      </c>
      <c r="R105" s="157">
        <f t="shared" si="28"/>
        <v>13.638049990175807</v>
      </c>
    </row>
    <row r="106" spans="1:18" x14ac:dyDescent="0.2">
      <c r="A106" s="86">
        <v>3</v>
      </c>
      <c r="B106" s="151">
        <f t="shared" si="4"/>
        <v>45717</v>
      </c>
      <c r="C106" s="167">
        <f t="shared" si="32"/>
        <v>45750</v>
      </c>
      <c r="D106" s="167">
        <f t="shared" si="32"/>
        <v>45771</v>
      </c>
      <c r="E106" s="158" t="s">
        <v>19</v>
      </c>
      <c r="F106" s="86">
        <v>9</v>
      </c>
      <c r="G106" s="153">
        <v>67</v>
      </c>
      <c r="H106" s="154">
        <f t="shared" si="25"/>
        <v>4.6134187490356018</v>
      </c>
      <c r="I106" s="154">
        <f t="shared" si="20"/>
        <v>4.8679546082756167</v>
      </c>
      <c r="J106" s="105">
        <f t="shared" si="2"/>
        <v>326.15295875446634</v>
      </c>
      <c r="K106" s="155">
        <f t="shared" si="30"/>
        <v>309.09905618538534</v>
      </c>
      <c r="L106" s="156">
        <f>+J106-K106</f>
        <v>17.053902569081004</v>
      </c>
      <c r="M106" s="105">
        <f t="shared" si="26"/>
        <v>1.2210844177545666</v>
      </c>
      <c r="N106" s="157">
        <f t="shared" si="27"/>
        <v>18.274986986835572</v>
      </c>
      <c r="O106" s="105">
        <v>0</v>
      </c>
      <c r="P106" s="105">
        <v>0</v>
      </c>
      <c r="Q106" s="105">
        <v>0</v>
      </c>
      <c r="R106" s="157">
        <f t="shared" si="28"/>
        <v>18.274986986835572</v>
      </c>
    </row>
    <row r="107" spans="1:18" x14ac:dyDescent="0.2">
      <c r="A107" s="86">
        <v>4</v>
      </c>
      <c r="B107" s="151">
        <f t="shared" si="4"/>
        <v>45748</v>
      </c>
      <c r="C107" s="167">
        <f t="shared" si="32"/>
        <v>45782</v>
      </c>
      <c r="D107" s="167">
        <f t="shared" si="32"/>
        <v>45803</v>
      </c>
      <c r="E107" s="1" t="s">
        <v>19</v>
      </c>
      <c r="F107" s="86">
        <v>9</v>
      </c>
      <c r="G107" s="153">
        <v>71</v>
      </c>
      <c r="H107" s="154">
        <f t="shared" si="25"/>
        <v>4.6134187490356018</v>
      </c>
      <c r="I107" s="154">
        <f t="shared" si="20"/>
        <v>4.8679546082756167</v>
      </c>
      <c r="J107" s="105">
        <f t="shared" si="2"/>
        <v>345.62477718756878</v>
      </c>
      <c r="K107" s="155">
        <f t="shared" si="30"/>
        <v>327.55273118152775</v>
      </c>
      <c r="L107" s="156">
        <f t="shared" ref="L107:L115" si="33">+J107-K107</f>
        <v>18.072046006041035</v>
      </c>
      <c r="M107" s="105">
        <f t="shared" si="26"/>
        <v>1.2939849800085705</v>
      </c>
      <c r="N107" s="157">
        <f t="shared" si="27"/>
        <v>19.366030986049605</v>
      </c>
      <c r="O107" s="105">
        <v>0</v>
      </c>
      <c r="P107" s="105">
        <v>0</v>
      </c>
      <c r="Q107" s="105">
        <v>0</v>
      </c>
      <c r="R107" s="157">
        <f t="shared" si="28"/>
        <v>19.366030986049605</v>
      </c>
    </row>
    <row r="108" spans="1:18" x14ac:dyDescent="0.2">
      <c r="A108" s="86">
        <v>5</v>
      </c>
      <c r="B108" s="151">
        <f t="shared" si="4"/>
        <v>45778</v>
      </c>
      <c r="C108" s="167">
        <f t="shared" si="32"/>
        <v>45812</v>
      </c>
      <c r="D108" s="167">
        <f t="shared" si="32"/>
        <v>45832</v>
      </c>
      <c r="E108" s="1" t="s">
        <v>19</v>
      </c>
      <c r="F108" s="86">
        <v>9</v>
      </c>
      <c r="G108" s="153">
        <v>64</v>
      </c>
      <c r="H108" s="154">
        <f t="shared" si="25"/>
        <v>4.6134187490356018</v>
      </c>
      <c r="I108" s="154">
        <f t="shared" ref="I108:I127" si="34">$J$3</f>
        <v>4.8679546082756167</v>
      </c>
      <c r="J108" s="105">
        <f t="shared" si="2"/>
        <v>311.54909492963947</v>
      </c>
      <c r="K108" s="155">
        <f t="shared" si="30"/>
        <v>295.25879993827851</v>
      </c>
      <c r="L108" s="156">
        <f t="shared" si="33"/>
        <v>16.290294991360952</v>
      </c>
      <c r="M108" s="105">
        <f t="shared" si="26"/>
        <v>1.1664089960640633</v>
      </c>
      <c r="N108" s="157">
        <f t="shared" si="27"/>
        <v>17.456703987425016</v>
      </c>
      <c r="O108" s="105">
        <v>0</v>
      </c>
      <c r="P108" s="105">
        <v>0</v>
      </c>
      <c r="Q108" s="105">
        <v>0</v>
      </c>
      <c r="R108" s="157">
        <f t="shared" si="28"/>
        <v>17.456703987425016</v>
      </c>
    </row>
    <row r="109" spans="1:18" x14ac:dyDescent="0.2">
      <c r="A109" s="86">
        <v>6</v>
      </c>
      <c r="B109" s="151">
        <f t="shared" ref="B109:B148" si="35">DATE($R$1,A109,1)</f>
        <v>45809</v>
      </c>
      <c r="C109" s="167">
        <f t="shared" si="32"/>
        <v>45841</v>
      </c>
      <c r="D109" s="167">
        <f t="shared" si="32"/>
        <v>45862</v>
      </c>
      <c r="E109" s="1" t="s">
        <v>19</v>
      </c>
      <c r="F109" s="86">
        <v>9</v>
      </c>
      <c r="G109" s="153">
        <v>72</v>
      </c>
      <c r="H109" s="154">
        <f t="shared" si="25"/>
        <v>4.6134187490356018</v>
      </c>
      <c r="I109" s="154">
        <f t="shared" si="34"/>
        <v>4.8679546082756167</v>
      </c>
      <c r="J109" s="105">
        <f t="shared" ref="J109:J148" si="36">+$G109*I109</f>
        <v>350.49273179584441</v>
      </c>
      <c r="K109" s="155">
        <f t="shared" si="30"/>
        <v>332.16614993056334</v>
      </c>
      <c r="L109" s="156">
        <f t="shared" si="33"/>
        <v>18.326581865281071</v>
      </c>
      <c r="M109" s="105">
        <f t="shared" si="26"/>
        <v>1.3122101205720713</v>
      </c>
      <c r="N109" s="157">
        <f t="shared" si="27"/>
        <v>19.638791985853143</v>
      </c>
      <c r="O109" s="105">
        <v>0</v>
      </c>
      <c r="P109" s="105">
        <v>0</v>
      </c>
      <c r="Q109" s="105">
        <v>0</v>
      </c>
      <c r="R109" s="157">
        <f t="shared" si="28"/>
        <v>19.638791985853143</v>
      </c>
    </row>
    <row r="110" spans="1:18" x14ac:dyDescent="0.2">
      <c r="A110" s="86">
        <v>7</v>
      </c>
      <c r="B110" s="151">
        <f t="shared" si="35"/>
        <v>45839</v>
      </c>
      <c r="C110" s="167">
        <f t="shared" si="32"/>
        <v>45874</v>
      </c>
      <c r="D110" s="167">
        <f t="shared" si="32"/>
        <v>45894</v>
      </c>
      <c r="E110" s="1" t="s">
        <v>19</v>
      </c>
      <c r="F110" s="86">
        <v>9</v>
      </c>
      <c r="G110" s="153">
        <v>11</v>
      </c>
      <c r="H110" s="154">
        <f t="shared" si="25"/>
        <v>4.6134187490356018</v>
      </c>
      <c r="I110" s="154">
        <f t="shared" si="34"/>
        <v>4.8679546082756167</v>
      </c>
      <c r="J110" s="105">
        <f t="shared" si="36"/>
        <v>53.547500691031786</v>
      </c>
      <c r="K110" s="155">
        <f t="shared" si="30"/>
        <v>50.747606239391622</v>
      </c>
      <c r="L110" s="156">
        <f t="shared" si="33"/>
        <v>2.7998944516401636</v>
      </c>
      <c r="M110" s="105">
        <f t="shared" si="26"/>
        <v>0.20047654619851094</v>
      </c>
      <c r="N110" s="157">
        <f t="shared" si="27"/>
        <v>3.0003709978386746</v>
      </c>
      <c r="O110" s="105">
        <v>0</v>
      </c>
      <c r="P110" s="105">
        <v>0</v>
      </c>
      <c r="Q110" s="105">
        <v>0</v>
      </c>
      <c r="R110" s="157">
        <f t="shared" si="28"/>
        <v>3.0003709978386746</v>
      </c>
    </row>
    <row r="111" spans="1:18" x14ac:dyDescent="0.2">
      <c r="A111" s="86">
        <v>8</v>
      </c>
      <c r="B111" s="151">
        <f t="shared" si="35"/>
        <v>45870</v>
      </c>
      <c r="C111" s="167">
        <f t="shared" si="32"/>
        <v>45904</v>
      </c>
      <c r="D111" s="167">
        <f t="shared" si="32"/>
        <v>45924</v>
      </c>
      <c r="E111" s="1" t="s">
        <v>19</v>
      </c>
      <c r="F111" s="86">
        <v>9</v>
      </c>
      <c r="G111" s="153">
        <v>62</v>
      </c>
      <c r="H111" s="154">
        <f t="shared" si="25"/>
        <v>4.6134187490356018</v>
      </c>
      <c r="I111" s="154">
        <f t="shared" si="34"/>
        <v>4.8679546082756167</v>
      </c>
      <c r="J111" s="105">
        <f t="shared" si="36"/>
        <v>301.81318571308822</v>
      </c>
      <c r="K111" s="155">
        <f t="shared" si="30"/>
        <v>286.03196244020734</v>
      </c>
      <c r="L111" s="156">
        <f t="shared" si="33"/>
        <v>15.781223272880879</v>
      </c>
      <c r="M111" s="105">
        <f t="shared" si="26"/>
        <v>1.1299587149370616</v>
      </c>
      <c r="N111" s="157">
        <f t="shared" si="27"/>
        <v>16.91118198781794</v>
      </c>
      <c r="O111" s="105">
        <v>0</v>
      </c>
      <c r="P111" s="105">
        <v>0</v>
      </c>
      <c r="Q111" s="105">
        <v>0</v>
      </c>
      <c r="R111" s="157">
        <f t="shared" si="28"/>
        <v>16.91118198781794</v>
      </c>
    </row>
    <row r="112" spans="1:18" x14ac:dyDescent="0.2">
      <c r="A112" s="86">
        <v>9</v>
      </c>
      <c r="B112" s="151">
        <f t="shared" si="35"/>
        <v>45901</v>
      </c>
      <c r="C112" s="167">
        <f t="shared" si="32"/>
        <v>45933</v>
      </c>
      <c r="D112" s="167">
        <f t="shared" si="32"/>
        <v>45954</v>
      </c>
      <c r="E112" s="1" t="s">
        <v>19</v>
      </c>
      <c r="F112" s="86">
        <v>9</v>
      </c>
      <c r="G112" s="153">
        <v>72</v>
      </c>
      <c r="H112" s="154">
        <f t="shared" si="25"/>
        <v>4.6134187490356018</v>
      </c>
      <c r="I112" s="154">
        <f t="shared" si="34"/>
        <v>4.8679546082756167</v>
      </c>
      <c r="J112" s="105">
        <f t="shared" si="36"/>
        <v>350.49273179584441</v>
      </c>
      <c r="K112" s="155">
        <f t="shared" si="30"/>
        <v>332.16614993056334</v>
      </c>
      <c r="L112" s="156">
        <f t="shared" si="33"/>
        <v>18.326581865281071</v>
      </c>
      <c r="M112" s="105">
        <f t="shared" si="26"/>
        <v>1.3122101205720713</v>
      </c>
      <c r="N112" s="157">
        <f t="shared" si="27"/>
        <v>19.638791985853143</v>
      </c>
      <c r="O112" s="105">
        <v>0</v>
      </c>
      <c r="P112" s="105">
        <v>0</v>
      </c>
      <c r="Q112" s="105">
        <v>0</v>
      </c>
      <c r="R112" s="157">
        <f t="shared" si="28"/>
        <v>19.638791985853143</v>
      </c>
    </row>
    <row r="113" spans="1:18" x14ac:dyDescent="0.2">
      <c r="A113" s="86">
        <v>10</v>
      </c>
      <c r="B113" s="151">
        <f t="shared" si="35"/>
        <v>45931</v>
      </c>
      <c r="C113" s="167">
        <f t="shared" si="32"/>
        <v>45966</v>
      </c>
      <c r="D113" s="167">
        <f t="shared" si="32"/>
        <v>45985</v>
      </c>
      <c r="E113" s="1" t="s">
        <v>19</v>
      </c>
      <c r="F113" s="86">
        <v>9</v>
      </c>
      <c r="G113" s="153">
        <v>72</v>
      </c>
      <c r="H113" s="154">
        <f t="shared" si="25"/>
        <v>4.6134187490356018</v>
      </c>
      <c r="I113" s="154">
        <f t="shared" si="34"/>
        <v>4.8679546082756167</v>
      </c>
      <c r="J113" s="105">
        <f t="shared" si="36"/>
        <v>350.49273179584441</v>
      </c>
      <c r="K113" s="155">
        <f t="shared" si="30"/>
        <v>332.16614993056334</v>
      </c>
      <c r="L113" s="156">
        <f t="shared" si="33"/>
        <v>18.326581865281071</v>
      </c>
      <c r="M113" s="105">
        <f t="shared" si="26"/>
        <v>1.3122101205720713</v>
      </c>
      <c r="N113" s="157">
        <f t="shared" si="27"/>
        <v>19.638791985853143</v>
      </c>
      <c r="O113" s="105">
        <v>0</v>
      </c>
      <c r="P113" s="105">
        <v>0</v>
      </c>
      <c r="Q113" s="105">
        <v>0</v>
      </c>
      <c r="R113" s="157">
        <f t="shared" si="28"/>
        <v>19.638791985853143</v>
      </c>
    </row>
    <row r="114" spans="1:18" x14ac:dyDescent="0.2">
      <c r="A114" s="86">
        <v>11</v>
      </c>
      <c r="B114" s="151">
        <f t="shared" si="35"/>
        <v>45962</v>
      </c>
      <c r="C114" s="167">
        <f t="shared" si="32"/>
        <v>45994</v>
      </c>
      <c r="D114" s="167">
        <f t="shared" si="32"/>
        <v>46015</v>
      </c>
      <c r="E114" s="1" t="s">
        <v>19</v>
      </c>
      <c r="F114" s="86">
        <v>9</v>
      </c>
      <c r="G114" s="153">
        <v>67</v>
      </c>
      <c r="H114" s="154">
        <f t="shared" si="25"/>
        <v>4.6134187490356018</v>
      </c>
      <c r="I114" s="154">
        <f t="shared" si="34"/>
        <v>4.8679546082756167</v>
      </c>
      <c r="J114" s="105">
        <f t="shared" si="36"/>
        <v>326.15295875446634</v>
      </c>
      <c r="K114" s="155">
        <f t="shared" si="30"/>
        <v>309.09905618538534</v>
      </c>
      <c r="L114" s="156">
        <f t="shared" si="33"/>
        <v>17.053902569081004</v>
      </c>
      <c r="M114" s="105">
        <f t="shared" si="26"/>
        <v>1.2210844177545666</v>
      </c>
      <c r="N114" s="157">
        <f t="shared" si="27"/>
        <v>18.274986986835572</v>
      </c>
      <c r="O114" s="105">
        <v>0</v>
      </c>
      <c r="P114" s="105">
        <v>0</v>
      </c>
      <c r="Q114" s="105">
        <v>0</v>
      </c>
      <c r="R114" s="157">
        <f t="shared" si="28"/>
        <v>18.274986986835572</v>
      </c>
    </row>
    <row r="115" spans="1:18" s="171" customFormat="1" x14ac:dyDescent="0.2">
      <c r="A115" s="86">
        <v>12</v>
      </c>
      <c r="B115" s="169">
        <f t="shared" si="35"/>
        <v>45992</v>
      </c>
      <c r="C115" s="172">
        <f t="shared" si="32"/>
        <v>46028</v>
      </c>
      <c r="D115" s="172">
        <f t="shared" si="32"/>
        <v>46048</v>
      </c>
      <c r="E115" s="170" t="s">
        <v>19</v>
      </c>
      <c r="F115" s="128">
        <v>9</v>
      </c>
      <c r="G115" s="190">
        <v>68</v>
      </c>
      <c r="H115" s="159">
        <f t="shared" si="25"/>
        <v>4.6134187490356018</v>
      </c>
      <c r="I115" s="159">
        <f t="shared" si="34"/>
        <v>4.8679546082756167</v>
      </c>
      <c r="J115" s="160">
        <f t="shared" si="36"/>
        <v>331.02091336274191</v>
      </c>
      <c r="K115" s="161">
        <f t="shared" si="30"/>
        <v>313.71247493442092</v>
      </c>
      <c r="L115" s="162">
        <f t="shared" si="33"/>
        <v>17.308438428320983</v>
      </c>
      <c r="M115" s="160">
        <f t="shared" si="26"/>
        <v>1.2393095583180673</v>
      </c>
      <c r="N115" s="191">
        <f t="shared" si="27"/>
        <v>18.547747986639049</v>
      </c>
      <c r="O115" s="160">
        <v>0</v>
      </c>
      <c r="P115" s="160">
        <v>0</v>
      </c>
      <c r="Q115" s="160">
        <v>0</v>
      </c>
      <c r="R115" s="191">
        <f t="shared" si="28"/>
        <v>18.547747986639049</v>
      </c>
    </row>
    <row r="116" spans="1:18" x14ac:dyDescent="0.2">
      <c r="A116" s="86">
        <v>1</v>
      </c>
      <c r="B116" s="151">
        <f t="shared" si="35"/>
        <v>45658</v>
      </c>
      <c r="C116" s="167">
        <f t="shared" si="32"/>
        <v>45693</v>
      </c>
      <c r="D116" s="167">
        <f t="shared" si="32"/>
        <v>45712</v>
      </c>
      <c r="E116" s="152" t="s">
        <v>13</v>
      </c>
      <c r="F116" s="86">
        <v>9</v>
      </c>
      <c r="G116" s="153">
        <v>1315</v>
      </c>
      <c r="H116" s="154">
        <f t="shared" si="25"/>
        <v>4.6134187490356018</v>
      </c>
      <c r="I116" s="154">
        <f t="shared" si="34"/>
        <v>4.8679546082756167</v>
      </c>
      <c r="J116" s="105">
        <f t="shared" si="36"/>
        <v>6401.360309882436</v>
      </c>
      <c r="K116" s="155">
        <f t="shared" si="30"/>
        <v>6066.6456549818167</v>
      </c>
      <c r="L116" s="156">
        <f>+J116-K116</f>
        <v>334.71465490061928</v>
      </c>
      <c r="M116" s="105">
        <f t="shared" si="26"/>
        <v>23.966059841003805</v>
      </c>
      <c r="N116" s="157">
        <f t="shared" si="27"/>
        <v>358.68071474162309</v>
      </c>
      <c r="O116" s="105">
        <v>0</v>
      </c>
      <c r="P116" s="105">
        <v>0</v>
      </c>
      <c r="Q116" s="105">
        <v>0</v>
      </c>
      <c r="R116" s="157">
        <f t="shared" si="28"/>
        <v>358.68071474162309</v>
      </c>
    </row>
    <row r="117" spans="1:18" x14ac:dyDescent="0.2">
      <c r="A117" s="86">
        <v>2</v>
      </c>
      <c r="B117" s="151">
        <f t="shared" si="35"/>
        <v>45689</v>
      </c>
      <c r="C117" s="167">
        <f t="shared" ref="C117:D139" si="37">+C105</f>
        <v>45721</v>
      </c>
      <c r="D117" s="167">
        <f t="shared" si="37"/>
        <v>45740</v>
      </c>
      <c r="E117" s="158" t="s">
        <v>13</v>
      </c>
      <c r="F117" s="86">
        <v>9</v>
      </c>
      <c r="G117" s="153">
        <v>1377</v>
      </c>
      <c r="H117" s="154">
        <f t="shared" si="25"/>
        <v>4.6134187490356018</v>
      </c>
      <c r="I117" s="154">
        <f t="shared" si="34"/>
        <v>4.8679546082756167</v>
      </c>
      <c r="J117" s="105">
        <f t="shared" si="36"/>
        <v>6703.1734955955244</v>
      </c>
      <c r="K117" s="155">
        <f t="shared" si="30"/>
        <v>6352.677617422024</v>
      </c>
      <c r="L117" s="156">
        <f>+J117-K117</f>
        <v>350.49587817350039</v>
      </c>
      <c r="M117" s="105">
        <f t="shared" si="26"/>
        <v>25.096018555940866</v>
      </c>
      <c r="N117" s="157">
        <f t="shared" si="27"/>
        <v>375.59189672944126</v>
      </c>
      <c r="O117" s="105">
        <v>0</v>
      </c>
      <c r="P117" s="105">
        <v>0</v>
      </c>
      <c r="Q117" s="105">
        <v>0</v>
      </c>
      <c r="R117" s="157">
        <f t="shared" si="28"/>
        <v>375.59189672944126</v>
      </c>
    </row>
    <row r="118" spans="1:18" x14ac:dyDescent="0.2">
      <c r="A118" s="86">
        <v>3</v>
      </c>
      <c r="B118" s="151">
        <f t="shared" si="35"/>
        <v>45717</v>
      </c>
      <c r="C118" s="167">
        <f t="shared" si="37"/>
        <v>45750</v>
      </c>
      <c r="D118" s="167">
        <f t="shared" si="37"/>
        <v>45771</v>
      </c>
      <c r="E118" s="158" t="s">
        <v>13</v>
      </c>
      <c r="F118" s="86">
        <v>9</v>
      </c>
      <c r="G118" s="153">
        <v>791</v>
      </c>
      <c r="H118" s="154">
        <f t="shared" si="25"/>
        <v>4.6134187490356018</v>
      </c>
      <c r="I118" s="154">
        <f t="shared" si="34"/>
        <v>4.8679546082756167</v>
      </c>
      <c r="J118" s="105">
        <f t="shared" si="36"/>
        <v>3850.5520951460126</v>
      </c>
      <c r="K118" s="155">
        <f t="shared" si="30"/>
        <v>3649.2142304871609</v>
      </c>
      <c r="L118" s="156">
        <f>+J118-K118</f>
        <v>201.33786465885169</v>
      </c>
      <c r="M118" s="105">
        <f t="shared" si="26"/>
        <v>14.416086185729284</v>
      </c>
      <c r="N118" s="157">
        <f t="shared" si="27"/>
        <v>215.75395084458097</v>
      </c>
      <c r="O118" s="105">
        <v>0</v>
      </c>
      <c r="P118" s="105">
        <v>0</v>
      </c>
      <c r="Q118" s="105">
        <v>0</v>
      </c>
      <c r="R118" s="157">
        <f t="shared" si="28"/>
        <v>215.75395084458097</v>
      </c>
    </row>
    <row r="119" spans="1:18" x14ac:dyDescent="0.2">
      <c r="A119" s="86">
        <v>4</v>
      </c>
      <c r="B119" s="151">
        <f t="shared" si="35"/>
        <v>45748</v>
      </c>
      <c r="C119" s="167">
        <f t="shared" si="37"/>
        <v>45782</v>
      </c>
      <c r="D119" s="167">
        <f t="shared" si="37"/>
        <v>45803</v>
      </c>
      <c r="E119" s="1" t="s">
        <v>13</v>
      </c>
      <c r="F119" s="86">
        <v>9</v>
      </c>
      <c r="G119" s="153">
        <v>603</v>
      </c>
      <c r="H119" s="154">
        <f t="shared" si="25"/>
        <v>4.6134187490356018</v>
      </c>
      <c r="I119" s="154">
        <f t="shared" si="34"/>
        <v>4.8679546082756167</v>
      </c>
      <c r="J119" s="105">
        <f t="shared" si="36"/>
        <v>2935.3766287901967</v>
      </c>
      <c r="K119" s="155">
        <f t="shared" si="30"/>
        <v>2781.8915056684677</v>
      </c>
      <c r="L119" s="156">
        <f t="shared" ref="L119:L127" si="38">+J119-K119</f>
        <v>153.48512312172898</v>
      </c>
      <c r="M119" s="105">
        <f t="shared" si="26"/>
        <v>10.989759759791099</v>
      </c>
      <c r="N119" s="157">
        <f t="shared" si="27"/>
        <v>164.47488288152007</v>
      </c>
      <c r="O119" s="105">
        <v>0</v>
      </c>
      <c r="P119" s="105">
        <v>0</v>
      </c>
      <c r="Q119" s="105">
        <v>0</v>
      </c>
      <c r="R119" s="157">
        <f t="shared" si="28"/>
        <v>164.47488288152007</v>
      </c>
    </row>
    <row r="120" spans="1:18" x14ac:dyDescent="0.2">
      <c r="A120" s="86">
        <v>5</v>
      </c>
      <c r="B120" s="151">
        <f t="shared" si="35"/>
        <v>45778</v>
      </c>
      <c r="C120" s="167">
        <f t="shared" si="37"/>
        <v>45812</v>
      </c>
      <c r="D120" s="167">
        <f t="shared" si="37"/>
        <v>45832</v>
      </c>
      <c r="E120" s="1" t="s">
        <v>13</v>
      </c>
      <c r="F120" s="86">
        <v>9</v>
      </c>
      <c r="G120" s="153">
        <v>738</v>
      </c>
      <c r="H120" s="154">
        <f t="shared" si="25"/>
        <v>4.6134187490356018</v>
      </c>
      <c r="I120" s="154">
        <f t="shared" si="34"/>
        <v>4.8679546082756167</v>
      </c>
      <c r="J120" s="105">
        <f t="shared" si="36"/>
        <v>3592.550500907405</v>
      </c>
      <c r="K120" s="155">
        <f t="shared" si="30"/>
        <v>3404.7030367882739</v>
      </c>
      <c r="L120" s="156">
        <f t="shared" si="38"/>
        <v>187.84746411913102</v>
      </c>
      <c r="M120" s="105">
        <f t="shared" si="26"/>
        <v>13.450153735863733</v>
      </c>
      <c r="N120" s="157">
        <f t="shared" si="27"/>
        <v>201.29761785499474</v>
      </c>
      <c r="O120" s="105">
        <v>0</v>
      </c>
      <c r="P120" s="105">
        <v>0</v>
      </c>
      <c r="Q120" s="105">
        <v>0</v>
      </c>
      <c r="R120" s="157">
        <f t="shared" si="28"/>
        <v>201.29761785499474</v>
      </c>
    </row>
    <row r="121" spans="1:18" x14ac:dyDescent="0.2">
      <c r="A121" s="86">
        <v>6</v>
      </c>
      <c r="B121" s="151">
        <f t="shared" si="35"/>
        <v>45809</v>
      </c>
      <c r="C121" s="167">
        <f t="shared" si="37"/>
        <v>45841</v>
      </c>
      <c r="D121" s="167">
        <f t="shared" si="37"/>
        <v>45862</v>
      </c>
      <c r="E121" s="1" t="s">
        <v>13</v>
      </c>
      <c r="F121" s="86">
        <v>9</v>
      </c>
      <c r="G121" s="153">
        <v>849</v>
      </c>
      <c r="H121" s="154">
        <f t="shared" si="25"/>
        <v>4.6134187490356018</v>
      </c>
      <c r="I121" s="154">
        <f t="shared" si="34"/>
        <v>4.8679546082756167</v>
      </c>
      <c r="J121" s="105">
        <f t="shared" si="36"/>
        <v>4132.8934624259982</v>
      </c>
      <c r="K121" s="155">
        <f t="shared" si="30"/>
        <v>3916.792517931226</v>
      </c>
      <c r="L121" s="156">
        <f t="shared" si="38"/>
        <v>216.10094449477219</v>
      </c>
      <c r="M121" s="105">
        <f t="shared" si="26"/>
        <v>15.473144338412341</v>
      </c>
      <c r="N121" s="157">
        <f t="shared" si="27"/>
        <v>231.57408883318453</v>
      </c>
      <c r="O121" s="105">
        <v>0</v>
      </c>
      <c r="P121" s="105">
        <v>0</v>
      </c>
      <c r="Q121" s="105">
        <v>0</v>
      </c>
      <c r="R121" s="157">
        <f t="shared" si="28"/>
        <v>231.57408883318453</v>
      </c>
    </row>
    <row r="122" spans="1:18" x14ac:dyDescent="0.2">
      <c r="A122" s="86">
        <v>7</v>
      </c>
      <c r="B122" s="151">
        <f t="shared" si="35"/>
        <v>45839</v>
      </c>
      <c r="C122" s="167">
        <f t="shared" si="37"/>
        <v>45874</v>
      </c>
      <c r="D122" s="167">
        <f t="shared" si="37"/>
        <v>45894</v>
      </c>
      <c r="E122" s="1" t="s">
        <v>13</v>
      </c>
      <c r="F122" s="86">
        <v>9</v>
      </c>
      <c r="G122" s="153">
        <v>978</v>
      </c>
      <c r="H122" s="154">
        <f t="shared" si="25"/>
        <v>4.6134187490356018</v>
      </c>
      <c r="I122" s="154">
        <f t="shared" si="34"/>
        <v>4.8679546082756167</v>
      </c>
      <c r="J122" s="105">
        <f t="shared" si="36"/>
        <v>4760.8596068935531</v>
      </c>
      <c r="K122" s="155">
        <f t="shared" si="30"/>
        <v>4511.9235365568184</v>
      </c>
      <c r="L122" s="156">
        <f t="shared" si="38"/>
        <v>248.9360703367347</v>
      </c>
      <c r="M122" s="105">
        <f t="shared" si="26"/>
        <v>17.824187471103972</v>
      </c>
      <c r="N122" s="157">
        <f t="shared" si="27"/>
        <v>266.76025780783868</v>
      </c>
      <c r="O122" s="105">
        <v>0</v>
      </c>
      <c r="P122" s="105">
        <v>0</v>
      </c>
      <c r="Q122" s="105">
        <v>0</v>
      </c>
      <c r="R122" s="157">
        <f t="shared" si="28"/>
        <v>266.76025780783868</v>
      </c>
    </row>
    <row r="123" spans="1:18" x14ac:dyDescent="0.2">
      <c r="A123" s="86">
        <v>8</v>
      </c>
      <c r="B123" s="151">
        <f t="shared" si="35"/>
        <v>45870</v>
      </c>
      <c r="C123" s="167">
        <f t="shared" si="37"/>
        <v>45904</v>
      </c>
      <c r="D123" s="167">
        <f t="shared" si="37"/>
        <v>45924</v>
      </c>
      <c r="E123" s="1" t="s">
        <v>13</v>
      </c>
      <c r="F123" s="86">
        <v>9</v>
      </c>
      <c r="G123" s="153">
        <v>1000</v>
      </c>
      <c r="H123" s="154">
        <f t="shared" si="25"/>
        <v>4.6134187490356018</v>
      </c>
      <c r="I123" s="154">
        <f t="shared" si="34"/>
        <v>4.8679546082756167</v>
      </c>
      <c r="J123" s="105">
        <f t="shared" si="36"/>
        <v>4867.9546082756169</v>
      </c>
      <c r="K123" s="155">
        <f t="shared" si="30"/>
        <v>4613.4187490356016</v>
      </c>
      <c r="L123" s="156">
        <f t="shared" si="38"/>
        <v>254.53585924001527</v>
      </c>
      <c r="M123" s="105">
        <f t="shared" si="26"/>
        <v>18.225140563500993</v>
      </c>
      <c r="N123" s="157">
        <f t="shared" si="27"/>
        <v>272.76099980351626</v>
      </c>
      <c r="O123" s="105">
        <v>0</v>
      </c>
      <c r="P123" s="105">
        <v>0</v>
      </c>
      <c r="Q123" s="105">
        <v>0</v>
      </c>
      <c r="R123" s="157">
        <f t="shared" si="28"/>
        <v>272.76099980351626</v>
      </c>
    </row>
    <row r="124" spans="1:18" x14ac:dyDescent="0.2">
      <c r="A124" s="86">
        <v>9</v>
      </c>
      <c r="B124" s="151">
        <f t="shared" si="35"/>
        <v>45901</v>
      </c>
      <c r="C124" s="167">
        <f t="shared" si="37"/>
        <v>45933</v>
      </c>
      <c r="D124" s="167">
        <f t="shared" si="37"/>
        <v>45954</v>
      </c>
      <c r="E124" s="1" t="s">
        <v>13</v>
      </c>
      <c r="F124" s="86">
        <v>9</v>
      </c>
      <c r="G124" s="153">
        <v>844</v>
      </c>
      <c r="H124" s="154">
        <f t="shared" si="25"/>
        <v>4.6134187490356018</v>
      </c>
      <c r="I124" s="154">
        <f t="shared" si="34"/>
        <v>4.8679546082756167</v>
      </c>
      <c r="J124" s="105">
        <f t="shared" si="36"/>
        <v>4108.5536893846202</v>
      </c>
      <c r="K124" s="155">
        <f t="shared" si="30"/>
        <v>3893.7254241860478</v>
      </c>
      <c r="L124" s="156">
        <f t="shared" si="38"/>
        <v>214.82826519857235</v>
      </c>
      <c r="M124" s="105">
        <f t="shared" si="26"/>
        <v>15.382018635594839</v>
      </c>
      <c r="N124" s="157">
        <f t="shared" si="27"/>
        <v>230.2102838341672</v>
      </c>
      <c r="O124" s="105">
        <v>0</v>
      </c>
      <c r="P124" s="105">
        <v>0</v>
      </c>
      <c r="Q124" s="105">
        <v>0</v>
      </c>
      <c r="R124" s="157">
        <f t="shared" si="28"/>
        <v>230.2102838341672</v>
      </c>
    </row>
    <row r="125" spans="1:18" x14ac:dyDescent="0.2">
      <c r="A125" s="86">
        <v>10</v>
      </c>
      <c r="B125" s="151">
        <f t="shared" si="35"/>
        <v>45931</v>
      </c>
      <c r="C125" s="167">
        <f t="shared" si="37"/>
        <v>45966</v>
      </c>
      <c r="D125" s="167">
        <f t="shared" si="37"/>
        <v>45985</v>
      </c>
      <c r="E125" s="1" t="s">
        <v>13</v>
      </c>
      <c r="F125" s="86">
        <v>9</v>
      </c>
      <c r="G125" s="153">
        <v>760</v>
      </c>
      <c r="H125" s="154">
        <f t="shared" si="25"/>
        <v>4.6134187490356018</v>
      </c>
      <c r="I125" s="154">
        <f t="shared" si="34"/>
        <v>4.8679546082756167</v>
      </c>
      <c r="J125" s="105">
        <f t="shared" si="36"/>
        <v>3699.6455022894688</v>
      </c>
      <c r="K125" s="155">
        <f t="shared" si="30"/>
        <v>3506.1982492670572</v>
      </c>
      <c r="L125" s="156">
        <f t="shared" si="38"/>
        <v>193.44725302241159</v>
      </c>
      <c r="M125" s="105">
        <f t="shared" si="26"/>
        <v>13.851106828260754</v>
      </c>
      <c r="N125" s="157">
        <f t="shared" si="27"/>
        <v>207.29835985067234</v>
      </c>
      <c r="O125" s="105">
        <v>0</v>
      </c>
      <c r="P125" s="105">
        <v>0</v>
      </c>
      <c r="Q125" s="105">
        <v>0</v>
      </c>
      <c r="R125" s="157">
        <f t="shared" si="28"/>
        <v>207.29835985067234</v>
      </c>
    </row>
    <row r="126" spans="1:18" x14ac:dyDescent="0.2">
      <c r="A126" s="86">
        <v>11</v>
      </c>
      <c r="B126" s="151">
        <f t="shared" si="35"/>
        <v>45962</v>
      </c>
      <c r="C126" s="167">
        <f t="shared" si="37"/>
        <v>45994</v>
      </c>
      <c r="D126" s="167">
        <f t="shared" si="37"/>
        <v>46015</v>
      </c>
      <c r="E126" s="1" t="s">
        <v>13</v>
      </c>
      <c r="F126" s="86">
        <v>9</v>
      </c>
      <c r="G126" s="153">
        <v>748</v>
      </c>
      <c r="H126" s="154">
        <f t="shared" si="25"/>
        <v>4.6134187490356018</v>
      </c>
      <c r="I126" s="154">
        <f t="shared" si="34"/>
        <v>4.8679546082756167</v>
      </c>
      <c r="J126" s="105">
        <f t="shared" si="36"/>
        <v>3641.2300469901611</v>
      </c>
      <c r="K126" s="155">
        <f t="shared" si="30"/>
        <v>3450.8372242786299</v>
      </c>
      <c r="L126" s="156">
        <f t="shared" si="38"/>
        <v>190.39282271153115</v>
      </c>
      <c r="M126" s="105">
        <f t="shared" si="26"/>
        <v>13.632405141498742</v>
      </c>
      <c r="N126" s="157">
        <f t="shared" si="27"/>
        <v>204.02522785302989</v>
      </c>
      <c r="O126" s="105">
        <v>0</v>
      </c>
      <c r="P126" s="105">
        <v>0</v>
      </c>
      <c r="Q126" s="105">
        <v>0</v>
      </c>
      <c r="R126" s="157">
        <f t="shared" si="28"/>
        <v>204.02522785302989</v>
      </c>
    </row>
    <row r="127" spans="1:18" s="171" customFormat="1" x14ac:dyDescent="0.2">
      <c r="A127" s="86">
        <v>12</v>
      </c>
      <c r="B127" s="169">
        <f t="shared" si="35"/>
        <v>45992</v>
      </c>
      <c r="C127" s="172">
        <f t="shared" si="37"/>
        <v>46028</v>
      </c>
      <c r="D127" s="172">
        <f t="shared" si="37"/>
        <v>46048</v>
      </c>
      <c r="E127" s="170" t="s">
        <v>13</v>
      </c>
      <c r="F127" s="128">
        <v>9</v>
      </c>
      <c r="G127" s="190">
        <v>1070</v>
      </c>
      <c r="H127" s="159">
        <f t="shared" si="25"/>
        <v>4.6134187490356018</v>
      </c>
      <c r="I127" s="159">
        <f t="shared" si="34"/>
        <v>4.8679546082756167</v>
      </c>
      <c r="J127" s="160">
        <f t="shared" si="36"/>
        <v>5208.7114308549098</v>
      </c>
      <c r="K127" s="161">
        <f t="shared" si="30"/>
        <v>4936.3580614680941</v>
      </c>
      <c r="L127" s="162">
        <f t="shared" si="38"/>
        <v>272.35336938681576</v>
      </c>
      <c r="M127" s="160">
        <f t="shared" si="26"/>
        <v>19.500900402946062</v>
      </c>
      <c r="N127" s="191">
        <f t="shared" si="27"/>
        <v>291.85426978976182</v>
      </c>
      <c r="O127" s="160">
        <v>0</v>
      </c>
      <c r="P127" s="160">
        <v>0</v>
      </c>
      <c r="Q127" s="160">
        <v>0</v>
      </c>
      <c r="R127" s="191">
        <f t="shared" si="28"/>
        <v>291.85426978976182</v>
      </c>
    </row>
    <row r="128" spans="1:18" x14ac:dyDescent="0.2">
      <c r="A128" s="86">
        <v>1</v>
      </c>
      <c r="B128" s="151">
        <f t="shared" si="35"/>
        <v>45658</v>
      </c>
      <c r="C128" s="167">
        <f t="shared" si="37"/>
        <v>45693</v>
      </c>
      <c r="D128" s="167">
        <f t="shared" si="37"/>
        <v>45712</v>
      </c>
      <c r="E128" s="152" t="s">
        <v>15</v>
      </c>
      <c r="F128" s="86">
        <v>9</v>
      </c>
      <c r="G128" s="153">
        <v>7</v>
      </c>
      <c r="H128" s="154">
        <f t="shared" si="25"/>
        <v>4.6134187490356018</v>
      </c>
      <c r="I128" s="154">
        <f t="shared" ref="I128:I147" si="39">$J$3</f>
        <v>4.8679546082756167</v>
      </c>
      <c r="J128" s="105">
        <f t="shared" si="36"/>
        <v>34.075682257929316</v>
      </c>
      <c r="K128" s="155">
        <f t="shared" si="30"/>
        <v>32.293931243249212</v>
      </c>
      <c r="L128" s="156">
        <f>+J128-K128</f>
        <v>1.7817510146801041</v>
      </c>
      <c r="M128" s="105">
        <f t="shared" si="26"/>
        <v>0.12757598394450695</v>
      </c>
      <c r="N128" s="157">
        <f t="shared" si="27"/>
        <v>1.9093269986246111</v>
      </c>
      <c r="O128" s="105">
        <v>0</v>
      </c>
      <c r="P128" s="105">
        <v>0</v>
      </c>
      <c r="Q128" s="105">
        <v>0</v>
      </c>
      <c r="R128" s="157">
        <f t="shared" si="28"/>
        <v>1.9093269986246111</v>
      </c>
    </row>
    <row r="129" spans="1:18" x14ac:dyDescent="0.2">
      <c r="A129" s="86">
        <v>2</v>
      </c>
      <c r="B129" s="151">
        <f t="shared" si="35"/>
        <v>45689</v>
      </c>
      <c r="C129" s="167">
        <f t="shared" si="37"/>
        <v>45721</v>
      </c>
      <c r="D129" s="167">
        <f t="shared" si="37"/>
        <v>45740</v>
      </c>
      <c r="E129" s="158" t="s">
        <v>15</v>
      </c>
      <c r="F129" s="86">
        <v>9</v>
      </c>
      <c r="G129" s="153">
        <v>8</v>
      </c>
      <c r="H129" s="154">
        <f t="shared" si="25"/>
        <v>4.6134187490356018</v>
      </c>
      <c r="I129" s="154">
        <f t="shared" si="39"/>
        <v>4.8679546082756167</v>
      </c>
      <c r="J129" s="105">
        <f t="shared" si="36"/>
        <v>38.943636866204933</v>
      </c>
      <c r="K129" s="155">
        <f t="shared" si="30"/>
        <v>36.907349992284814</v>
      </c>
      <c r="L129" s="156">
        <f>+J129-K129</f>
        <v>2.036286873920119</v>
      </c>
      <c r="M129" s="105">
        <f t="shared" si="26"/>
        <v>0.14580112450800792</v>
      </c>
      <c r="N129" s="157">
        <f t="shared" si="27"/>
        <v>2.182087998428127</v>
      </c>
      <c r="O129" s="105">
        <v>0</v>
      </c>
      <c r="P129" s="105">
        <v>0</v>
      </c>
      <c r="Q129" s="105">
        <v>0</v>
      </c>
      <c r="R129" s="157">
        <f t="shared" si="28"/>
        <v>2.182087998428127</v>
      </c>
    </row>
    <row r="130" spans="1:18" x14ac:dyDescent="0.2">
      <c r="A130" s="86">
        <v>3</v>
      </c>
      <c r="B130" s="151">
        <f t="shared" si="35"/>
        <v>45717</v>
      </c>
      <c r="C130" s="167">
        <f t="shared" si="37"/>
        <v>45750</v>
      </c>
      <c r="D130" s="167">
        <f t="shared" si="37"/>
        <v>45771</v>
      </c>
      <c r="E130" s="158" t="s">
        <v>15</v>
      </c>
      <c r="F130" s="86">
        <v>9</v>
      </c>
      <c r="G130" s="153">
        <v>7</v>
      </c>
      <c r="H130" s="154">
        <f t="shared" si="25"/>
        <v>4.6134187490356018</v>
      </c>
      <c r="I130" s="154">
        <f t="shared" si="39"/>
        <v>4.8679546082756167</v>
      </c>
      <c r="J130" s="105">
        <f t="shared" si="36"/>
        <v>34.075682257929316</v>
      </c>
      <c r="K130" s="155">
        <f t="shared" si="30"/>
        <v>32.293931243249212</v>
      </c>
      <c r="L130" s="156">
        <f>+J130-K130</f>
        <v>1.7817510146801041</v>
      </c>
      <c r="M130" s="105">
        <f t="shared" si="26"/>
        <v>0.12757598394450695</v>
      </c>
      <c r="N130" s="157">
        <f t="shared" si="27"/>
        <v>1.9093269986246111</v>
      </c>
      <c r="O130" s="105">
        <v>0</v>
      </c>
      <c r="P130" s="105">
        <v>0</v>
      </c>
      <c r="Q130" s="105">
        <v>0</v>
      </c>
      <c r="R130" s="157">
        <f t="shared" si="28"/>
        <v>1.9093269986246111</v>
      </c>
    </row>
    <row r="131" spans="1:18" x14ac:dyDescent="0.2">
      <c r="A131" s="86">
        <v>4</v>
      </c>
      <c r="B131" s="151">
        <f t="shared" si="35"/>
        <v>45748</v>
      </c>
      <c r="C131" s="167">
        <f t="shared" si="37"/>
        <v>45782</v>
      </c>
      <c r="D131" s="167">
        <f t="shared" si="37"/>
        <v>45803</v>
      </c>
      <c r="E131" s="158" t="s">
        <v>15</v>
      </c>
      <c r="F131" s="86">
        <v>9</v>
      </c>
      <c r="G131" s="153">
        <v>3</v>
      </c>
      <c r="H131" s="154">
        <f t="shared" si="25"/>
        <v>4.6134187490356018</v>
      </c>
      <c r="I131" s="154">
        <f t="shared" si="39"/>
        <v>4.8679546082756167</v>
      </c>
      <c r="J131" s="105">
        <f t="shared" si="36"/>
        <v>14.603863824826849</v>
      </c>
      <c r="K131" s="155">
        <f t="shared" si="30"/>
        <v>13.840256247106804</v>
      </c>
      <c r="L131" s="156">
        <f t="shared" ref="L131:L141" si="40">+J131-K131</f>
        <v>0.76360757772004462</v>
      </c>
      <c r="M131" s="105">
        <f t="shared" si="26"/>
        <v>5.4675421690502983E-2</v>
      </c>
      <c r="N131" s="157">
        <f t="shared" si="27"/>
        <v>0.81828299941054761</v>
      </c>
      <c r="O131" s="105">
        <v>0</v>
      </c>
      <c r="P131" s="105">
        <v>0</v>
      </c>
      <c r="Q131" s="105">
        <v>0</v>
      </c>
      <c r="R131" s="157">
        <f t="shared" si="28"/>
        <v>0.81828299941054761</v>
      </c>
    </row>
    <row r="132" spans="1:18" x14ac:dyDescent="0.2">
      <c r="A132" s="86">
        <v>5</v>
      </c>
      <c r="B132" s="151">
        <f t="shared" si="35"/>
        <v>45778</v>
      </c>
      <c r="C132" s="167">
        <f t="shared" si="37"/>
        <v>45812</v>
      </c>
      <c r="D132" s="167">
        <f t="shared" si="37"/>
        <v>45832</v>
      </c>
      <c r="E132" s="1" t="s">
        <v>15</v>
      </c>
      <c r="F132" s="86">
        <v>9</v>
      </c>
      <c r="G132" s="153">
        <v>5</v>
      </c>
      <c r="H132" s="154">
        <f t="shared" si="25"/>
        <v>4.6134187490356018</v>
      </c>
      <c r="I132" s="154">
        <f t="shared" si="39"/>
        <v>4.8679546082756167</v>
      </c>
      <c r="J132" s="105">
        <f t="shared" si="36"/>
        <v>24.339773041378084</v>
      </c>
      <c r="K132" s="155">
        <f t="shared" si="30"/>
        <v>23.06709374517801</v>
      </c>
      <c r="L132" s="156">
        <f t="shared" si="40"/>
        <v>1.2726792962000744</v>
      </c>
      <c r="M132" s="105">
        <f t="shared" si="26"/>
        <v>9.1125702817504955E-2</v>
      </c>
      <c r="N132" s="157">
        <f t="shared" si="27"/>
        <v>1.3638049990175793</v>
      </c>
      <c r="O132" s="105">
        <v>0</v>
      </c>
      <c r="P132" s="105">
        <v>0</v>
      </c>
      <c r="Q132" s="105">
        <v>0</v>
      </c>
      <c r="R132" s="157">
        <f t="shared" si="28"/>
        <v>1.3638049990175793</v>
      </c>
    </row>
    <row r="133" spans="1:18" x14ac:dyDescent="0.2">
      <c r="A133" s="86">
        <v>6</v>
      </c>
      <c r="B133" s="151">
        <f t="shared" si="35"/>
        <v>45809</v>
      </c>
      <c r="C133" s="167">
        <f t="shared" si="37"/>
        <v>45841</v>
      </c>
      <c r="D133" s="167">
        <f t="shared" si="37"/>
        <v>45862</v>
      </c>
      <c r="E133" s="1" t="s">
        <v>15</v>
      </c>
      <c r="F133" s="86">
        <v>9</v>
      </c>
      <c r="G133" s="153">
        <v>10</v>
      </c>
      <c r="H133" s="154">
        <f t="shared" si="25"/>
        <v>4.6134187490356018</v>
      </c>
      <c r="I133" s="154">
        <f t="shared" si="39"/>
        <v>4.8679546082756167</v>
      </c>
      <c r="J133" s="105">
        <f t="shared" si="36"/>
        <v>48.679546082756168</v>
      </c>
      <c r="K133" s="155">
        <f t="shared" si="30"/>
        <v>46.13418749035602</v>
      </c>
      <c r="L133" s="156">
        <f t="shared" si="40"/>
        <v>2.5453585924001487</v>
      </c>
      <c r="M133" s="105">
        <f t="shared" si="26"/>
        <v>0.18225140563500991</v>
      </c>
      <c r="N133" s="157">
        <f t="shared" si="27"/>
        <v>2.7276099980351587</v>
      </c>
      <c r="O133" s="105">
        <v>0</v>
      </c>
      <c r="P133" s="105">
        <v>0</v>
      </c>
      <c r="Q133" s="105">
        <v>0</v>
      </c>
      <c r="R133" s="157">
        <f t="shared" si="28"/>
        <v>2.7276099980351587</v>
      </c>
    </row>
    <row r="134" spans="1:18" x14ac:dyDescent="0.2">
      <c r="A134" s="86">
        <v>7</v>
      </c>
      <c r="B134" s="151">
        <f t="shared" si="35"/>
        <v>45839</v>
      </c>
      <c r="C134" s="167">
        <f t="shared" si="37"/>
        <v>45874</v>
      </c>
      <c r="D134" s="167">
        <f t="shared" si="37"/>
        <v>45894</v>
      </c>
      <c r="E134" s="1" t="s">
        <v>15</v>
      </c>
      <c r="F134" s="86">
        <v>9</v>
      </c>
      <c r="G134" s="153">
        <v>17</v>
      </c>
      <c r="H134" s="154">
        <f t="shared" si="25"/>
        <v>4.6134187490356018</v>
      </c>
      <c r="I134" s="154">
        <f t="shared" si="39"/>
        <v>4.8679546082756167</v>
      </c>
      <c r="J134" s="105">
        <f t="shared" si="36"/>
        <v>82.755228340685477</v>
      </c>
      <c r="K134" s="155">
        <f t="shared" ref="K134:K197" si="41">+$G134*H134</f>
        <v>78.428118733605231</v>
      </c>
      <c r="L134" s="156">
        <f t="shared" si="40"/>
        <v>4.3271096070802457</v>
      </c>
      <c r="M134" s="105">
        <f t="shared" si="26"/>
        <v>0.30982738957951683</v>
      </c>
      <c r="N134" s="157">
        <f t="shared" si="27"/>
        <v>4.6369369966597622</v>
      </c>
      <c r="O134" s="105">
        <v>0</v>
      </c>
      <c r="P134" s="105">
        <v>0</v>
      </c>
      <c r="Q134" s="105">
        <v>0</v>
      </c>
      <c r="R134" s="157">
        <f t="shared" si="28"/>
        <v>4.6369369966597622</v>
      </c>
    </row>
    <row r="135" spans="1:18" x14ac:dyDescent="0.2">
      <c r="A135" s="86">
        <v>8</v>
      </c>
      <c r="B135" s="151">
        <f t="shared" si="35"/>
        <v>45870</v>
      </c>
      <c r="C135" s="167">
        <f t="shared" si="37"/>
        <v>45904</v>
      </c>
      <c r="D135" s="167">
        <f t="shared" si="37"/>
        <v>45924</v>
      </c>
      <c r="E135" s="1" t="s">
        <v>15</v>
      </c>
      <c r="F135" s="86">
        <v>9</v>
      </c>
      <c r="G135" s="153">
        <v>16</v>
      </c>
      <c r="H135" s="154">
        <f t="shared" si="25"/>
        <v>4.6134187490356018</v>
      </c>
      <c r="I135" s="154">
        <f t="shared" si="39"/>
        <v>4.8679546082756167</v>
      </c>
      <c r="J135" s="105">
        <f t="shared" si="36"/>
        <v>77.887273732409867</v>
      </c>
      <c r="K135" s="155">
        <f t="shared" si="41"/>
        <v>73.814699984569629</v>
      </c>
      <c r="L135" s="156">
        <f t="shared" si="40"/>
        <v>4.072573747840238</v>
      </c>
      <c r="M135" s="105">
        <f t="shared" si="26"/>
        <v>0.29160224901601584</v>
      </c>
      <c r="N135" s="157">
        <f t="shared" si="27"/>
        <v>4.3641759968562539</v>
      </c>
      <c r="O135" s="105">
        <v>0</v>
      </c>
      <c r="P135" s="105">
        <v>0</v>
      </c>
      <c r="Q135" s="105">
        <v>0</v>
      </c>
      <c r="R135" s="157">
        <f t="shared" si="28"/>
        <v>4.3641759968562539</v>
      </c>
    </row>
    <row r="136" spans="1:18" x14ac:dyDescent="0.2">
      <c r="A136" s="86">
        <v>9</v>
      </c>
      <c r="B136" s="151">
        <f t="shared" si="35"/>
        <v>45901</v>
      </c>
      <c r="C136" s="167">
        <f t="shared" si="37"/>
        <v>45933</v>
      </c>
      <c r="D136" s="167">
        <f t="shared" si="37"/>
        <v>45954</v>
      </c>
      <c r="E136" s="1" t="s">
        <v>15</v>
      </c>
      <c r="F136" s="86">
        <v>9</v>
      </c>
      <c r="G136" s="153">
        <v>8</v>
      </c>
      <c r="H136" s="154">
        <f t="shared" si="25"/>
        <v>4.6134187490356018</v>
      </c>
      <c r="I136" s="154">
        <f t="shared" si="39"/>
        <v>4.8679546082756167</v>
      </c>
      <c r="J136" s="105">
        <f t="shared" si="36"/>
        <v>38.943636866204933</v>
      </c>
      <c r="K136" s="155">
        <f t="shared" si="41"/>
        <v>36.907349992284814</v>
      </c>
      <c r="L136" s="156">
        <f t="shared" si="40"/>
        <v>2.036286873920119</v>
      </c>
      <c r="M136" s="105">
        <f t="shared" si="26"/>
        <v>0.14580112450800792</v>
      </c>
      <c r="N136" s="157">
        <f t="shared" si="27"/>
        <v>2.182087998428127</v>
      </c>
      <c r="O136" s="105">
        <v>0</v>
      </c>
      <c r="P136" s="105">
        <v>0</v>
      </c>
      <c r="Q136" s="105">
        <v>0</v>
      </c>
      <c r="R136" s="157">
        <f t="shared" si="28"/>
        <v>2.182087998428127</v>
      </c>
    </row>
    <row r="137" spans="1:18" x14ac:dyDescent="0.2">
      <c r="A137" s="86">
        <v>10</v>
      </c>
      <c r="B137" s="151">
        <f t="shared" si="35"/>
        <v>45931</v>
      </c>
      <c r="C137" s="167">
        <f t="shared" si="37"/>
        <v>45966</v>
      </c>
      <c r="D137" s="167">
        <f t="shared" si="37"/>
        <v>45985</v>
      </c>
      <c r="E137" s="1" t="s">
        <v>15</v>
      </c>
      <c r="F137" s="86">
        <v>9</v>
      </c>
      <c r="G137" s="153">
        <v>8</v>
      </c>
      <c r="H137" s="154">
        <f t="shared" si="25"/>
        <v>4.6134187490356018</v>
      </c>
      <c r="I137" s="154">
        <f t="shared" si="39"/>
        <v>4.8679546082756167</v>
      </c>
      <c r="J137" s="105">
        <f t="shared" si="36"/>
        <v>38.943636866204933</v>
      </c>
      <c r="K137" s="155">
        <f t="shared" si="41"/>
        <v>36.907349992284814</v>
      </c>
      <c r="L137" s="156">
        <f t="shared" si="40"/>
        <v>2.036286873920119</v>
      </c>
      <c r="M137" s="105">
        <f t="shared" si="26"/>
        <v>0.14580112450800792</v>
      </c>
      <c r="N137" s="157">
        <f t="shared" si="27"/>
        <v>2.182087998428127</v>
      </c>
      <c r="O137" s="105">
        <v>0</v>
      </c>
      <c r="P137" s="105">
        <v>0</v>
      </c>
      <c r="Q137" s="105">
        <v>0</v>
      </c>
      <c r="R137" s="157">
        <f t="shared" si="28"/>
        <v>2.182087998428127</v>
      </c>
    </row>
    <row r="138" spans="1:18" x14ac:dyDescent="0.2">
      <c r="A138" s="86">
        <v>11</v>
      </c>
      <c r="B138" s="151">
        <f t="shared" si="35"/>
        <v>45962</v>
      </c>
      <c r="C138" s="167">
        <f t="shared" si="37"/>
        <v>45994</v>
      </c>
      <c r="D138" s="167">
        <f t="shared" si="37"/>
        <v>46015</v>
      </c>
      <c r="E138" s="1" t="s">
        <v>15</v>
      </c>
      <c r="F138" s="86">
        <v>9</v>
      </c>
      <c r="G138" s="153">
        <v>6</v>
      </c>
      <c r="H138" s="154">
        <f t="shared" si="25"/>
        <v>4.6134187490356018</v>
      </c>
      <c r="I138" s="154">
        <f t="shared" si="39"/>
        <v>4.8679546082756167</v>
      </c>
      <c r="J138" s="105">
        <f t="shared" si="36"/>
        <v>29.207727649653698</v>
      </c>
      <c r="K138" s="155">
        <f t="shared" si="41"/>
        <v>27.680512494213609</v>
      </c>
      <c r="L138" s="156">
        <f t="shared" si="40"/>
        <v>1.5272151554400892</v>
      </c>
      <c r="M138" s="105">
        <f t="shared" si="26"/>
        <v>0.10935084338100597</v>
      </c>
      <c r="N138" s="157">
        <f t="shared" si="27"/>
        <v>1.6365659988210952</v>
      </c>
      <c r="O138" s="105">
        <v>0</v>
      </c>
      <c r="P138" s="105">
        <v>0</v>
      </c>
      <c r="Q138" s="105">
        <v>0</v>
      </c>
      <c r="R138" s="157">
        <f t="shared" si="28"/>
        <v>1.6365659988210952</v>
      </c>
    </row>
    <row r="139" spans="1:18" s="171" customFormat="1" x14ac:dyDescent="0.2">
      <c r="A139" s="86">
        <v>12</v>
      </c>
      <c r="B139" s="169">
        <f t="shared" si="35"/>
        <v>45992</v>
      </c>
      <c r="C139" s="167">
        <f t="shared" si="37"/>
        <v>46028</v>
      </c>
      <c r="D139" s="167">
        <f t="shared" si="37"/>
        <v>46048</v>
      </c>
      <c r="E139" s="170" t="s">
        <v>15</v>
      </c>
      <c r="F139" s="128">
        <v>9</v>
      </c>
      <c r="G139" s="190">
        <v>7</v>
      </c>
      <c r="H139" s="159">
        <f t="shared" si="25"/>
        <v>4.6134187490356018</v>
      </c>
      <c r="I139" s="159">
        <f t="shared" si="39"/>
        <v>4.8679546082756167</v>
      </c>
      <c r="J139" s="160">
        <f t="shared" si="36"/>
        <v>34.075682257929316</v>
      </c>
      <c r="K139" s="161">
        <f t="shared" si="41"/>
        <v>32.293931243249212</v>
      </c>
      <c r="L139" s="162">
        <f t="shared" si="40"/>
        <v>1.7817510146801041</v>
      </c>
      <c r="M139" s="160">
        <f t="shared" si="26"/>
        <v>0.12757598394450695</v>
      </c>
      <c r="N139" s="191">
        <f t="shared" si="27"/>
        <v>1.9093269986246111</v>
      </c>
      <c r="O139" s="160">
        <v>0</v>
      </c>
      <c r="P139" s="160">
        <v>0</v>
      </c>
      <c r="Q139" s="160">
        <v>0</v>
      </c>
      <c r="R139" s="191">
        <f t="shared" si="28"/>
        <v>1.9093269986246111</v>
      </c>
    </row>
    <row r="140" spans="1:18" x14ac:dyDescent="0.2">
      <c r="A140" s="86">
        <v>1</v>
      </c>
      <c r="B140" s="151">
        <f t="shared" si="35"/>
        <v>45658</v>
      </c>
      <c r="C140" s="164">
        <f t="shared" ref="C140:D151" si="42">+C128</f>
        <v>45693</v>
      </c>
      <c r="D140" s="164">
        <f t="shared" si="42"/>
        <v>45712</v>
      </c>
      <c r="E140" s="174" t="s">
        <v>16</v>
      </c>
      <c r="F140" s="86">
        <v>9</v>
      </c>
      <c r="G140" s="153">
        <v>2</v>
      </c>
      <c r="H140" s="154">
        <f t="shared" si="25"/>
        <v>4.6134187490356018</v>
      </c>
      <c r="I140" s="154">
        <f t="shared" si="39"/>
        <v>4.8679546082756167</v>
      </c>
      <c r="J140" s="105">
        <f t="shared" si="36"/>
        <v>9.7359092165512333</v>
      </c>
      <c r="K140" s="155">
        <f t="shared" si="41"/>
        <v>9.2268374980712036</v>
      </c>
      <c r="L140" s="156">
        <f t="shared" si="40"/>
        <v>0.50907171848002974</v>
      </c>
      <c r="M140" s="105">
        <f t="shared" si="26"/>
        <v>3.6450281127001979E-2</v>
      </c>
      <c r="N140" s="157">
        <f t="shared" si="27"/>
        <v>0.54552199960703174</v>
      </c>
      <c r="O140" s="105">
        <v>0</v>
      </c>
      <c r="P140" s="105">
        <v>0</v>
      </c>
      <c r="Q140" s="105">
        <v>0</v>
      </c>
      <c r="R140" s="157">
        <f t="shared" si="28"/>
        <v>0.54552199960703174</v>
      </c>
    </row>
    <row r="141" spans="1:18" x14ac:dyDescent="0.2">
      <c r="A141" s="86">
        <v>2</v>
      </c>
      <c r="B141" s="151">
        <f t="shared" si="35"/>
        <v>45689</v>
      </c>
      <c r="C141" s="167">
        <f t="shared" si="42"/>
        <v>45721</v>
      </c>
      <c r="D141" s="167">
        <f t="shared" si="42"/>
        <v>45740</v>
      </c>
      <c r="E141" s="1" t="s">
        <v>16</v>
      </c>
      <c r="F141" s="86">
        <v>9</v>
      </c>
      <c r="G141" s="153">
        <v>3</v>
      </c>
      <c r="H141" s="154">
        <f t="shared" si="25"/>
        <v>4.6134187490356018</v>
      </c>
      <c r="I141" s="154">
        <f t="shared" si="39"/>
        <v>4.8679546082756167</v>
      </c>
      <c r="J141" s="105">
        <f t="shared" si="36"/>
        <v>14.603863824826849</v>
      </c>
      <c r="K141" s="155">
        <f t="shared" si="41"/>
        <v>13.840256247106804</v>
      </c>
      <c r="L141" s="156">
        <f t="shared" si="40"/>
        <v>0.76360757772004462</v>
      </c>
      <c r="M141" s="105">
        <f t="shared" si="26"/>
        <v>5.4675421690502983E-2</v>
      </c>
      <c r="N141" s="157">
        <f t="shared" si="27"/>
        <v>0.81828299941054761</v>
      </c>
      <c r="O141" s="105">
        <v>0</v>
      </c>
      <c r="P141" s="105">
        <v>0</v>
      </c>
      <c r="Q141" s="105">
        <v>0</v>
      </c>
      <c r="R141" s="157">
        <f t="shared" si="28"/>
        <v>0.81828299941054761</v>
      </c>
    </row>
    <row r="142" spans="1:18" x14ac:dyDescent="0.2">
      <c r="A142" s="86">
        <v>3</v>
      </c>
      <c r="B142" s="151">
        <f t="shared" si="35"/>
        <v>45717</v>
      </c>
      <c r="C142" s="167">
        <f t="shared" si="42"/>
        <v>45750</v>
      </c>
      <c r="D142" s="167">
        <f t="shared" si="42"/>
        <v>45771</v>
      </c>
      <c r="E142" s="1" t="s">
        <v>16</v>
      </c>
      <c r="F142" s="86">
        <v>9</v>
      </c>
      <c r="G142" s="153">
        <v>2</v>
      </c>
      <c r="H142" s="154">
        <f t="shared" si="25"/>
        <v>4.6134187490356018</v>
      </c>
      <c r="I142" s="154">
        <f t="shared" si="39"/>
        <v>4.8679546082756167</v>
      </c>
      <c r="J142" s="105">
        <f t="shared" si="36"/>
        <v>9.7359092165512333</v>
      </c>
      <c r="K142" s="155">
        <f t="shared" si="41"/>
        <v>9.2268374980712036</v>
      </c>
      <c r="L142" s="156">
        <f>+J142-K142</f>
        <v>0.50907171848002974</v>
      </c>
      <c r="M142" s="105">
        <f t="shared" si="26"/>
        <v>3.6450281127001979E-2</v>
      </c>
      <c r="N142" s="157">
        <f t="shared" si="27"/>
        <v>0.54552199960703174</v>
      </c>
      <c r="O142" s="105">
        <v>0</v>
      </c>
      <c r="P142" s="105">
        <v>0</v>
      </c>
      <c r="Q142" s="105">
        <v>0</v>
      </c>
      <c r="R142" s="157">
        <f t="shared" si="28"/>
        <v>0.54552199960703174</v>
      </c>
    </row>
    <row r="143" spans="1:18" x14ac:dyDescent="0.2">
      <c r="A143" s="86">
        <v>4</v>
      </c>
      <c r="B143" s="151">
        <f t="shared" si="35"/>
        <v>45748</v>
      </c>
      <c r="C143" s="167">
        <f t="shared" si="42"/>
        <v>45782</v>
      </c>
      <c r="D143" s="167">
        <f t="shared" si="42"/>
        <v>45803</v>
      </c>
      <c r="E143" s="1" t="s">
        <v>16</v>
      </c>
      <c r="F143" s="86">
        <v>9</v>
      </c>
      <c r="G143" s="153">
        <v>1</v>
      </c>
      <c r="H143" s="154">
        <f t="shared" si="25"/>
        <v>4.6134187490356018</v>
      </c>
      <c r="I143" s="154">
        <f t="shared" si="39"/>
        <v>4.8679546082756167</v>
      </c>
      <c r="J143" s="105">
        <f t="shared" si="36"/>
        <v>4.8679546082756167</v>
      </c>
      <c r="K143" s="155">
        <f t="shared" si="41"/>
        <v>4.6134187490356018</v>
      </c>
      <c r="L143" s="156">
        <f t="shared" ref="L143:L153" si="43">+J143-K143</f>
        <v>0.25453585924001487</v>
      </c>
      <c r="M143" s="105">
        <f t="shared" si="26"/>
        <v>1.822514056350099E-2</v>
      </c>
      <c r="N143" s="157">
        <f t="shared" si="27"/>
        <v>0.27276099980351587</v>
      </c>
      <c r="O143" s="105">
        <v>0</v>
      </c>
      <c r="P143" s="105">
        <v>0</v>
      </c>
      <c r="Q143" s="105">
        <v>0</v>
      </c>
      <c r="R143" s="157">
        <f t="shared" si="28"/>
        <v>0.27276099980351587</v>
      </c>
    </row>
    <row r="144" spans="1:18" x14ac:dyDescent="0.2">
      <c r="A144" s="86">
        <v>5</v>
      </c>
      <c r="B144" s="151">
        <f t="shared" si="35"/>
        <v>45778</v>
      </c>
      <c r="C144" s="167">
        <f t="shared" si="42"/>
        <v>45812</v>
      </c>
      <c r="D144" s="167">
        <f t="shared" si="42"/>
        <v>45832</v>
      </c>
      <c r="E144" s="1" t="s">
        <v>16</v>
      </c>
      <c r="F144" s="86">
        <v>9</v>
      </c>
      <c r="G144" s="153">
        <v>2</v>
      </c>
      <c r="H144" s="154">
        <f t="shared" si="25"/>
        <v>4.6134187490356018</v>
      </c>
      <c r="I144" s="154">
        <f t="shared" si="39"/>
        <v>4.8679546082756167</v>
      </c>
      <c r="J144" s="105">
        <f t="shared" si="36"/>
        <v>9.7359092165512333</v>
      </c>
      <c r="K144" s="155">
        <f t="shared" si="41"/>
        <v>9.2268374980712036</v>
      </c>
      <c r="L144" s="156">
        <f t="shared" si="43"/>
        <v>0.50907171848002974</v>
      </c>
      <c r="M144" s="105">
        <f t="shared" si="26"/>
        <v>3.6450281127001979E-2</v>
      </c>
      <c r="N144" s="157">
        <f t="shared" si="27"/>
        <v>0.54552199960703174</v>
      </c>
      <c r="O144" s="105">
        <v>0</v>
      </c>
      <c r="P144" s="105">
        <v>0</v>
      </c>
      <c r="Q144" s="105">
        <v>0</v>
      </c>
      <c r="R144" s="157">
        <f t="shared" si="28"/>
        <v>0.54552199960703174</v>
      </c>
    </row>
    <row r="145" spans="1:18" x14ac:dyDescent="0.2">
      <c r="A145" s="86">
        <v>6</v>
      </c>
      <c r="B145" s="151">
        <f t="shared" si="35"/>
        <v>45809</v>
      </c>
      <c r="C145" s="167">
        <f t="shared" si="42"/>
        <v>45841</v>
      </c>
      <c r="D145" s="167">
        <f t="shared" si="42"/>
        <v>45862</v>
      </c>
      <c r="E145" s="1" t="s">
        <v>16</v>
      </c>
      <c r="F145" s="86">
        <v>9</v>
      </c>
      <c r="G145" s="153">
        <v>3</v>
      </c>
      <c r="H145" s="154">
        <f t="shared" si="25"/>
        <v>4.6134187490356018</v>
      </c>
      <c r="I145" s="154">
        <f t="shared" si="39"/>
        <v>4.8679546082756167</v>
      </c>
      <c r="J145" s="105">
        <f t="shared" si="36"/>
        <v>14.603863824826849</v>
      </c>
      <c r="K145" s="155">
        <f t="shared" si="41"/>
        <v>13.840256247106804</v>
      </c>
      <c r="L145" s="156">
        <f t="shared" si="43"/>
        <v>0.76360757772004462</v>
      </c>
      <c r="M145" s="105">
        <f t="shared" si="26"/>
        <v>5.4675421690502983E-2</v>
      </c>
      <c r="N145" s="157">
        <f t="shared" si="27"/>
        <v>0.81828299941054761</v>
      </c>
      <c r="O145" s="105">
        <v>0</v>
      </c>
      <c r="P145" s="105">
        <v>0</v>
      </c>
      <c r="Q145" s="105">
        <v>0</v>
      </c>
      <c r="R145" s="157">
        <f t="shared" si="28"/>
        <v>0.81828299941054761</v>
      </c>
    </row>
    <row r="146" spans="1:18" x14ac:dyDescent="0.2">
      <c r="A146" s="86">
        <v>7</v>
      </c>
      <c r="B146" s="151">
        <f t="shared" si="35"/>
        <v>45839</v>
      </c>
      <c r="C146" s="167">
        <f t="shared" si="42"/>
        <v>45874</v>
      </c>
      <c r="D146" s="167">
        <f t="shared" si="42"/>
        <v>45894</v>
      </c>
      <c r="E146" s="1" t="s">
        <v>16</v>
      </c>
      <c r="F146" s="86">
        <v>9</v>
      </c>
      <c r="G146" s="153">
        <v>7</v>
      </c>
      <c r="H146" s="154">
        <f t="shared" si="25"/>
        <v>4.6134187490356018</v>
      </c>
      <c r="I146" s="154">
        <f t="shared" si="39"/>
        <v>4.8679546082756167</v>
      </c>
      <c r="J146" s="105">
        <f t="shared" si="36"/>
        <v>34.075682257929316</v>
      </c>
      <c r="K146" s="155">
        <f t="shared" si="41"/>
        <v>32.293931243249212</v>
      </c>
      <c r="L146" s="156">
        <f t="shared" si="43"/>
        <v>1.7817510146801041</v>
      </c>
      <c r="M146" s="105">
        <f t="shared" si="26"/>
        <v>0.12757598394450695</v>
      </c>
      <c r="N146" s="157">
        <f t="shared" si="27"/>
        <v>1.9093269986246111</v>
      </c>
      <c r="O146" s="105">
        <v>0</v>
      </c>
      <c r="P146" s="105">
        <v>0</v>
      </c>
      <c r="Q146" s="105">
        <v>0</v>
      </c>
      <c r="R146" s="157">
        <f t="shared" si="28"/>
        <v>1.9093269986246111</v>
      </c>
    </row>
    <row r="147" spans="1:18" x14ac:dyDescent="0.2">
      <c r="A147" s="86">
        <v>8</v>
      </c>
      <c r="B147" s="151">
        <f t="shared" si="35"/>
        <v>45870</v>
      </c>
      <c r="C147" s="167">
        <f t="shared" si="42"/>
        <v>45904</v>
      </c>
      <c r="D147" s="167">
        <f t="shared" si="42"/>
        <v>45924</v>
      </c>
      <c r="E147" s="1" t="s">
        <v>16</v>
      </c>
      <c r="F147" s="86">
        <v>9</v>
      </c>
      <c r="G147" s="153">
        <v>5</v>
      </c>
      <c r="H147" s="154">
        <f t="shared" si="25"/>
        <v>4.6134187490356018</v>
      </c>
      <c r="I147" s="154">
        <f t="shared" si="39"/>
        <v>4.8679546082756167</v>
      </c>
      <c r="J147" s="105">
        <f t="shared" si="36"/>
        <v>24.339773041378084</v>
      </c>
      <c r="K147" s="155">
        <f t="shared" si="41"/>
        <v>23.06709374517801</v>
      </c>
      <c r="L147" s="156">
        <f t="shared" si="43"/>
        <v>1.2726792962000744</v>
      </c>
      <c r="M147" s="105">
        <f t="shared" si="26"/>
        <v>9.1125702817504955E-2</v>
      </c>
      <c r="N147" s="157">
        <f t="shared" si="27"/>
        <v>1.3638049990175793</v>
      </c>
      <c r="O147" s="105">
        <v>0</v>
      </c>
      <c r="P147" s="105">
        <v>0</v>
      </c>
      <c r="Q147" s="105">
        <v>0</v>
      </c>
      <c r="R147" s="157">
        <f t="shared" si="28"/>
        <v>1.3638049990175793</v>
      </c>
    </row>
    <row r="148" spans="1:18" x14ac:dyDescent="0.2">
      <c r="A148" s="86">
        <v>9</v>
      </c>
      <c r="B148" s="151">
        <f t="shared" si="35"/>
        <v>45901</v>
      </c>
      <c r="C148" s="167">
        <f t="shared" si="42"/>
        <v>45933</v>
      </c>
      <c r="D148" s="167">
        <f t="shared" si="42"/>
        <v>45954</v>
      </c>
      <c r="E148" s="1" t="s">
        <v>16</v>
      </c>
      <c r="F148" s="86">
        <v>9</v>
      </c>
      <c r="G148" s="153">
        <v>2</v>
      </c>
      <c r="H148" s="154">
        <f t="shared" si="25"/>
        <v>4.6134187490356018</v>
      </c>
      <c r="I148" s="154">
        <f t="shared" ref="I148:I179" si="44">$J$3</f>
        <v>4.8679546082756167</v>
      </c>
      <c r="J148" s="105">
        <f t="shared" si="36"/>
        <v>9.7359092165512333</v>
      </c>
      <c r="K148" s="155">
        <f t="shared" si="41"/>
        <v>9.2268374980712036</v>
      </c>
      <c r="L148" s="156">
        <f t="shared" si="43"/>
        <v>0.50907171848002974</v>
      </c>
      <c r="M148" s="105">
        <f t="shared" si="26"/>
        <v>3.6450281127001979E-2</v>
      </c>
      <c r="N148" s="157">
        <f t="shared" si="27"/>
        <v>0.54552199960703174</v>
      </c>
      <c r="O148" s="105">
        <v>0</v>
      </c>
      <c r="P148" s="105">
        <v>0</v>
      </c>
      <c r="Q148" s="105">
        <v>0</v>
      </c>
      <c r="R148" s="157">
        <f t="shared" si="28"/>
        <v>0.54552199960703174</v>
      </c>
    </row>
    <row r="149" spans="1:18" x14ac:dyDescent="0.2">
      <c r="A149" s="86">
        <v>10</v>
      </c>
      <c r="B149" s="151">
        <f t="shared" ref="B149:B211" si="45">DATE($R$1,A149,1)</f>
        <v>45931</v>
      </c>
      <c r="C149" s="167">
        <f t="shared" si="42"/>
        <v>45966</v>
      </c>
      <c r="D149" s="167">
        <f t="shared" si="42"/>
        <v>45985</v>
      </c>
      <c r="E149" s="1" t="s">
        <v>16</v>
      </c>
      <c r="F149" s="86">
        <v>9</v>
      </c>
      <c r="G149" s="153">
        <v>3</v>
      </c>
      <c r="H149" s="154">
        <f t="shared" ref="H149:H211" si="46">+$K$3</f>
        <v>4.6134187490356018</v>
      </c>
      <c r="I149" s="154">
        <f t="shared" si="44"/>
        <v>4.8679546082756167</v>
      </c>
      <c r="J149" s="105">
        <f t="shared" ref="J149:J211" si="47">+$G149*I149</f>
        <v>14.603863824826849</v>
      </c>
      <c r="K149" s="155">
        <f t="shared" si="41"/>
        <v>13.840256247106804</v>
      </c>
      <c r="L149" s="156">
        <f t="shared" si="43"/>
        <v>0.76360757772004462</v>
      </c>
      <c r="M149" s="105">
        <f t="shared" ref="M149:M211" si="48">G149/$G$212*$M$14</f>
        <v>5.4675421690502983E-2</v>
      </c>
      <c r="N149" s="157">
        <f t="shared" ref="N149:N211" si="49">SUM(L149:M149)</f>
        <v>0.81828299941054761</v>
      </c>
      <c r="O149" s="105">
        <v>0</v>
      </c>
      <c r="P149" s="105">
        <v>0</v>
      </c>
      <c r="Q149" s="105">
        <v>0</v>
      </c>
      <c r="R149" s="157">
        <f t="shared" ref="R149:R211" si="50">+N149-Q149</f>
        <v>0.81828299941054761</v>
      </c>
    </row>
    <row r="150" spans="1:18" x14ac:dyDescent="0.2">
      <c r="A150" s="86">
        <v>11</v>
      </c>
      <c r="B150" s="151">
        <f t="shared" si="45"/>
        <v>45962</v>
      </c>
      <c r="C150" s="167">
        <f t="shared" si="42"/>
        <v>45994</v>
      </c>
      <c r="D150" s="167">
        <f t="shared" si="42"/>
        <v>46015</v>
      </c>
      <c r="E150" s="1" t="s">
        <v>16</v>
      </c>
      <c r="F150" s="86">
        <v>9</v>
      </c>
      <c r="G150" s="153">
        <v>1</v>
      </c>
      <c r="H150" s="154">
        <f t="shared" si="46"/>
        <v>4.6134187490356018</v>
      </c>
      <c r="I150" s="154">
        <f t="shared" si="44"/>
        <v>4.8679546082756167</v>
      </c>
      <c r="J150" s="105">
        <f t="shared" si="47"/>
        <v>4.8679546082756167</v>
      </c>
      <c r="K150" s="155">
        <f t="shared" si="41"/>
        <v>4.6134187490356018</v>
      </c>
      <c r="L150" s="156">
        <f t="shared" si="43"/>
        <v>0.25453585924001487</v>
      </c>
      <c r="M150" s="105">
        <f t="shared" si="48"/>
        <v>1.822514056350099E-2</v>
      </c>
      <c r="N150" s="157">
        <f t="shared" si="49"/>
        <v>0.27276099980351587</v>
      </c>
      <c r="O150" s="105">
        <v>0</v>
      </c>
      <c r="P150" s="105">
        <v>0</v>
      </c>
      <c r="Q150" s="105">
        <v>0</v>
      </c>
      <c r="R150" s="157">
        <f t="shared" si="50"/>
        <v>0.27276099980351587</v>
      </c>
    </row>
    <row r="151" spans="1:18" s="171" customFormat="1" x14ac:dyDescent="0.2">
      <c r="A151" s="86">
        <v>12</v>
      </c>
      <c r="B151" s="169">
        <f t="shared" si="45"/>
        <v>45992</v>
      </c>
      <c r="C151" s="167">
        <f t="shared" si="42"/>
        <v>46028</v>
      </c>
      <c r="D151" s="167">
        <f t="shared" si="42"/>
        <v>46048</v>
      </c>
      <c r="E151" s="170" t="s">
        <v>16</v>
      </c>
      <c r="F151" s="128">
        <v>9</v>
      </c>
      <c r="G151" s="190">
        <v>2</v>
      </c>
      <c r="H151" s="159">
        <f t="shared" si="46"/>
        <v>4.6134187490356018</v>
      </c>
      <c r="I151" s="159">
        <f t="shared" si="44"/>
        <v>4.8679546082756167</v>
      </c>
      <c r="J151" s="160">
        <f t="shared" si="47"/>
        <v>9.7359092165512333</v>
      </c>
      <c r="K151" s="161">
        <f t="shared" si="41"/>
        <v>9.2268374980712036</v>
      </c>
      <c r="L151" s="162">
        <f t="shared" si="43"/>
        <v>0.50907171848002974</v>
      </c>
      <c r="M151" s="160">
        <f t="shared" si="48"/>
        <v>3.6450281127001979E-2</v>
      </c>
      <c r="N151" s="191">
        <f t="shared" si="49"/>
        <v>0.54552199960703174</v>
      </c>
      <c r="O151" s="160">
        <v>0</v>
      </c>
      <c r="P151" s="160">
        <v>0</v>
      </c>
      <c r="Q151" s="160">
        <v>0</v>
      </c>
      <c r="R151" s="191">
        <f t="shared" si="50"/>
        <v>0.54552199960703174</v>
      </c>
    </row>
    <row r="152" spans="1:18" x14ac:dyDescent="0.2">
      <c r="A152" s="86">
        <v>1</v>
      </c>
      <c r="B152" s="151">
        <f t="shared" si="45"/>
        <v>45658</v>
      </c>
      <c r="C152" s="164">
        <f t="shared" ref="C152:D171" si="51">+C140</f>
        <v>45693</v>
      </c>
      <c r="D152" s="164">
        <f t="shared" si="51"/>
        <v>45712</v>
      </c>
      <c r="E152" s="174" t="s">
        <v>53</v>
      </c>
      <c r="F152" s="86">
        <v>9</v>
      </c>
      <c r="G152" s="153">
        <v>137</v>
      </c>
      <c r="H152" s="154">
        <f t="shared" si="46"/>
        <v>4.6134187490356018</v>
      </c>
      <c r="I152" s="154">
        <f t="shared" si="44"/>
        <v>4.8679546082756167</v>
      </c>
      <c r="J152" s="105">
        <f t="shared" si="47"/>
        <v>666.9097813337595</v>
      </c>
      <c r="K152" s="155">
        <f t="shared" si="41"/>
        <v>632.0383686178775</v>
      </c>
      <c r="L152" s="156">
        <f t="shared" si="43"/>
        <v>34.871412715882002</v>
      </c>
      <c r="M152" s="105">
        <f t="shared" si="48"/>
        <v>2.4968442571996357</v>
      </c>
      <c r="N152" s="157">
        <f t="shared" si="49"/>
        <v>37.368256973081635</v>
      </c>
      <c r="O152" s="105">
        <v>0</v>
      </c>
      <c r="P152" s="105">
        <v>0</v>
      </c>
      <c r="Q152" s="105">
        <v>0</v>
      </c>
      <c r="R152" s="157">
        <f t="shared" si="50"/>
        <v>37.368256973081635</v>
      </c>
    </row>
    <row r="153" spans="1:18" x14ac:dyDescent="0.2">
      <c r="A153" s="86">
        <v>2</v>
      </c>
      <c r="B153" s="151">
        <f t="shared" si="45"/>
        <v>45689</v>
      </c>
      <c r="C153" s="167">
        <f t="shared" si="51"/>
        <v>45721</v>
      </c>
      <c r="D153" s="167">
        <f t="shared" si="51"/>
        <v>45740</v>
      </c>
      <c r="E153" s="175" t="s">
        <v>53</v>
      </c>
      <c r="F153" s="86">
        <v>9</v>
      </c>
      <c r="G153" s="153">
        <v>156</v>
      </c>
      <c r="H153" s="154">
        <f t="shared" si="46"/>
        <v>4.6134187490356018</v>
      </c>
      <c r="I153" s="154">
        <f t="shared" si="44"/>
        <v>4.8679546082756167</v>
      </c>
      <c r="J153" s="105">
        <f t="shared" si="47"/>
        <v>759.40091889099619</v>
      </c>
      <c r="K153" s="155">
        <f t="shared" si="41"/>
        <v>719.69332484955385</v>
      </c>
      <c r="L153" s="156">
        <f t="shared" si="43"/>
        <v>39.707594041442348</v>
      </c>
      <c r="M153" s="105">
        <f t="shared" si="48"/>
        <v>2.843121927906155</v>
      </c>
      <c r="N153" s="157">
        <f t="shared" si="49"/>
        <v>42.550715969348502</v>
      </c>
      <c r="O153" s="105">
        <v>0</v>
      </c>
      <c r="P153" s="105">
        <v>0</v>
      </c>
      <c r="Q153" s="105">
        <v>0</v>
      </c>
      <c r="R153" s="157">
        <f t="shared" si="50"/>
        <v>42.550715969348502</v>
      </c>
    </row>
    <row r="154" spans="1:18" x14ac:dyDescent="0.2">
      <c r="A154" s="86">
        <v>3</v>
      </c>
      <c r="B154" s="151">
        <f t="shared" si="45"/>
        <v>45717</v>
      </c>
      <c r="C154" s="167">
        <f t="shared" si="51"/>
        <v>45750</v>
      </c>
      <c r="D154" s="167">
        <f t="shared" si="51"/>
        <v>45771</v>
      </c>
      <c r="E154" s="175" t="s">
        <v>53</v>
      </c>
      <c r="F154" s="86">
        <v>9</v>
      </c>
      <c r="G154" s="153">
        <v>113</v>
      </c>
      <c r="H154" s="154">
        <f t="shared" si="46"/>
        <v>4.6134187490356018</v>
      </c>
      <c r="I154" s="154">
        <f t="shared" si="44"/>
        <v>4.8679546082756167</v>
      </c>
      <c r="J154" s="105">
        <f t="shared" si="47"/>
        <v>550.07887073514473</v>
      </c>
      <c r="K154" s="155">
        <f t="shared" si="41"/>
        <v>521.31631864102303</v>
      </c>
      <c r="L154" s="156">
        <f>+J154-K154</f>
        <v>28.762552094121702</v>
      </c>
      <c r="M154" s="105">
        <f t="shared" si="48"/>
        <v>2.0594408836756122</v>
      </c>
      <c r="N154" s="157">
        <f t="shared" si="49"/>
        <v>30.821992977797315</v>
      </c>
      <c r="O154" s="105">
        <v>0</v>
      </c>
      <c r="P154" s="105">
        <v>0</v>
      </c>
      <c r="Q154" s="105">
        <v>0</v>
      </c>
      <c r="R154" s="157">
        <f t="shared" si="50"/>
        <v>30.821992977797315</v>
      </c>
    </row>
    <row r="155" spans="1:18" x14ac:dyDescent="0.2">
      <c r="A155" s="86">
        <v>4</v>
      </c>
      <c r="B155" s="151">
        <f t="shared" si="45"/>
        <v>45748</v>
      </c>
      <c r="C155" s="167">
        <f t="shared" si="51"/>
        <v>45782</v>
      </c>
      <c r="D155" s="167">
        <f t="shared" si="51"/>
        <v>45803</v>
      </c>
      <c r="E155" s="175" t="s">
        <v>53</v>
      </c>
      <c r="F155" s="86">
        <v>9</v>
      </c>
      <c r="G155" s="153">
        <v>112</v>
      </c>
      <c r="H155" s="154">
        <f t="shared" si="46"/>
        <v>4.6134187490356018</v>
      </c>
      <c r="I155" s="154">
        <f t="shared" si="44"/>
        <v>4.8679546082756167</v>
      </c>
      <c r="J155" s="105">
        <f t="shared" si="47"/>
        <v>545.21091612686905</v>
      </c>
      <c r="K155" s="155">
        <f t="shared" si="41"/>
        <v>516.70289989198739</v>
      </c>
      <c r="L155" s="156">
        <f t="shared" ref="L155:L165" si="52">+J155-K155</f>
        <v>28.508016234881666</v>
      </c>
      <c r="M155" s="105">
        <f t="shared" si="48"/>
        <v>2.0412157431121112</v>
      </c>
      <c r="N155" s="157">
        <f t="shared" si="49"/>
        <v>30.549231977993777</v>
      </c>
      <c r="O155" s="105">
        <v>0</v>
      </c>
      <c r="P155" s="105">
        <v>0</v>
      </c>
      <c r="Q155" s="105">
        <v>0</v>
      </c>
      <c r="R155" s="157">
        <f t="shared" si="50"/>
        <v>30.549231977993777</v>
      </c>
    </row>
    <row r="156" spans="1:18" x14ac:dyDescent="0.2">
      <c r="A156" s="86">
        <v>5</v>
      </c>
      <c r="B156" s="151">
        <f t="shared" si="45"/>
        <v>45778</v>
      </c>
      <c r="C156" s="167">
        <f t="shared" si="51"/>
        <v>45812</v>
      </c>
      <c r="D156" s="167">
        <f t="shared" si="51"/>
        <v>45832</v>
      </c>
      <c r="E156" s="175" t="s">
        <v>53</v>
      </c>
      <c r="F156" s="86">
        <v>9</v>
      </c>
      <c r="G156" s="153">
        <v>142</v>
      </c>
      <c r="H156" s="154">
        <f t="shared" si="46"/>
        <v>4.6134187490356018</v>
      </c>
      <c r="I156" s="154">
        <f t="shared" si="44"/>
        <v>4.8679546082756167</v>
      </c>
      <c r="J156" s="105">
        <f t="shared" si="47"/>
        <v>691.24955437513756</v>
      </c>
      <c r="K156" s="155">
        <f t="shared" si="41"/>
        <v>655.10546236305549</v>
      </c>
      <c r="L156" s="156">
        <f t="shared" si="52"/>
        <v>36.144092012082069</v>
      </c>
      <c r="M156" s="105">
        <f t="shared" si="48"/>
        <v>2.5879699600171411</v>
      </c>
      <c r="N156" s="157">
        <f t="shared" si="49"/>
        <v>38.73206197209921</v>
      </c>
      <c r="O156" s="105">
        <v>0</v>
      </c>
      <c r="P156" s="105">
        <v>0</v>
      </c>
      <c r="Q156" s="105">
        <v>0</v>
      </c>
      <c r="R156" s="157">
        <f t="shared" si="50"/>
        <v>38.73206197209921</v>
      </c>
    </row>
    <row r="157" spans="1:18" x14ac:dyDescent="0.2">
      <c r="A157" s="86">
        <v>6</v>
      </c>
      <c r="B157" s="151">
        <f t="shared" si="45"/>
        <v>45809</v>
      </c>
      <c r="C157" s="167">
        <f t="shared" si="51"/>
        <v>45841</v>
      </c>
      <c r="D157" s="167">
        <f t="shared" si="51"/>
        <v>45862</v>
      </c>
      <c r="E157" s="175" t="s">
        <v>53</v>
      </c>
      <c r="F157" s="86">
        <v>9</v>
      </c>
      <c r="G157" s="153">
        <v>165</v>
      </c>
      <c r="H157" s="154">
        <f t="shared" si="46"/>
        <v>4.6134187490356018</v>
      </c>
      <c r="I157" s="154">
        <f t="shared" si="44"/>
        <v>4.8679546082756167</v>
      </c>
      <c r="J157" s="105">
        <f t="shared" si="47"/>
        <v>803.21251036547676</v>
      </c>
      <c r="K157" s="155">
        <f t="shared" si="41"/>
        <v>761.21409359087431</v>
      </c>
      <c r="L157" s="156">
        <f t="shared" si="52"/>
        <v>41.998416774602447</v>
      </c>
      <c r="M157" s="105">
        <f t="shared" si="48"/>
        <v>3.007148192977664</v>
      </c>
      <c r="N157" s="157">
        <f t="shared" si="49"/>
        <v>45.005564967580113</v>
      </c>
      <c r="O157" s="105">
        <v>0</v>
      </c>
      <c r="P157" s="105">
        <v>0</v>
      </c>
      <c r="Q157" s="105">
        <v>0</v>
      </c>
      <c r="R157" s="157">
        <f t="shared" si="50"/>
        <v>45.005564967580113</v>
      </c>
    </row>
    <row r="158" spans="1:18" x14ac:dyDescent="0.2">
      <c r="A158" s="86">
        <v>7</v>
      </c>
      <c r="B158" s="151">
        <f t="shared" si="45"/>
        <v>45839</v>
      </c>
      <c r="C158" s="167">
        <f t="shared" si="51"/>
        <v>45874</v>
      </c>
      <c r="D158" s="167">
        <f t="shared" si="51"/>
        <v>45894</v>
      </c>
      <c r="E158" s="175" t="s">
        <v>53</v>
      </c>
      <c r="F158" s="86">
        <v>9</v>
      </c>
      <c r="G158" s="153">
        <v>185</v>
      </c>
      <c r="H158" s="154">
        <f t="shared" si="46"/>
        <v>4.6134187490356018</v>
      </c>
      <c r="I158" s="154">
        <f t="shared" si="44"/>
        <v>4.8679546082756167</v>
      </c>
      <c r="J158" s="105">
        <f t="shared" si="47"/>
        <v>900.57160253098903</v>
      </c>
      <c r="K158" s="155">
        <f t="shared" si="41"/>
        <v>853.48246857158631</v>
      </c>
      <c r="L158" s="156">
        <f t="shared" si="52"/>
        <v>47.089133959402716</v>
      </c>
      <c r="M158" s="105">
        <f t="shared" si="48"/>
        <v>3.3716510042476835</v>
      </c>
      <c r="N158" s="157">
        <f t="shared" si="49"/>
        <v>50.460784963650397</v>
      </c>
      <c r="O158" s="105">
        <v>0</v>
      </c>
      <c r="P158" s="105">
        <v>0</v>
      </c>
      <c r="Q158" s="105">
        <v>0</v>
      </c>
      <c r="R158" s="157">
        <f t="shared" si="50"/>
        <v>50.460784963650397</v>
      </c>
    </row>
    <row r="159" spans="1:18" x14ac:dyDescent="0.2">
      <c r="A159" s="86">
        <v>8</v>
      </c>
      <c r="B159" s="151">
        <f t="shared" si="45"/>
        <v>45870</v>
      </c>
      <c r="C159" s="167">
        <f t="shared" si="51"/>
        <v>45904</v>
      </c>
      <c r="D159" s="167">
        <f t="shared" si="51"/>
        <v>45924</v>
      </c>
      <c r="E159" s="175" t="s">
        <v>53</v>
      </c>
      <c r="F159" s="86">
        <v>9</v>
      </c>
      <c r="G159" s="153">
        <v>191</v>
      </c>
      <c r="H159" s="154">
        <f t="shared" si="46"/>
        <v>4.6134187490356018</v>
      </c>
      <c r="I159" s="154">
        <f t="shared" si="44"/>
        <v>4.8679546082756167</v>
      </c>
      <c r="J159" s="105">
        <f t="shared" si="47"/>
        <v>929.77933018064277</v>
      </c>
      <c r="K159" s="155">
        <f t="shared" si="41"/>
        <v>881.16298106579995</v>
      </c>
      <c r="L159" s="156">
        <f t="shared" si="52"/>
        <v>48.616349114842819</v>
      </c>
      <c r="M159" s="105">
        <f t="shared" si="48"/>
        <v>3.4810018476286899</v>
      </c>
      <c r="N159" s="157">
        <f t="shared" si="49"/>
        <v>52.097350962471509</v>
      </c>
      <c r="O159" s="105">
        <v>0</v>
      </c>
      <c r="P159" s="105">
        <v>0</v>
      </c>
      <c r="Q159" s="105">
        <v>0</v>
      </c>
      <c r="R159" s="157">
        <f t="shared" si="50"/>
        <v>52.097350962471509</v>
      </c>
    </row>
    <row r="160" spans="1:18" x14ac:dyDescent="0.2">
      <c r="A160" s="86">
        <v>9</v>
      </c>
      <c r="B160" s="151">
        <f t="shared" si="45"/>
        <v>45901</v>
      </c>
      <c r="C160" s="167">
        <f t="shared" si="51"/>
        <v>45933</v>
      </c>
      <c r="D160" s="167">
        <f t="shared" si="51"/>
        <v>45954</v>
      </c>
      <c r="E160" s="175" t="s">
        <v>53</v>
      </c>
      <c r="F160" s="86">
        <v>9</v>
      </c>
      <c r="G160" s="153">
        <v>140</v>
      </c>
      <c r="H160" s="154">
        <f t="shared" si="46"/>
        <v>4.6134187490356018</v>
      </c>
      <c r="I160" s="154">
        <f t="shared" si="44"/>
        <v>4.8679546082756167</v>
      </c>
      <c r="J160" s="105">
        <f t="shared" si="47"/>
        <v>681.51364515858631</v>
      </c>
      <c r="K160" s="155">
        <f t="shared" si="41"/>
        <v>645.8786248649842</v>
      </c>
      <c r="L160" s="156">
        <f t="shared" si="52"/>
        <v>35.635020293602111</v>
      </c>
      <c r="M160" s="105">
        <f t="shared" si="48"/>
        <v>2.5515196788901391</v>
      </c>
      <c r="N160" s="157">
        <f t="shared" si="49"/>
        <v>38.186539972492248</v>
      </c>
      <c r="O160" s="105">
        <v>0</v>
      </c>
      <c r="P160" s="105">
        <v>0</v>
      </c>
      <c r="Q160" s="105">
        <v>0</v>
      </c>
      <c r="R160" s="157">
        <f t="shared" si="50"/>
        <v>38.186539972492248</v>
      </c>
    </row>
    <row r="161" spans="1:18" x14ac:dyDescent="0.2">
      <c r="A161" s="86">
        <v>10</v>
      </c>
      <c r="B161" s="151">
        <f t="shared" si="45"/>
        <v>45931</v>
      </c>
      <c r="C161" s="167">
        <f t="shared" si="51"/>
        <v>45966</v>
      </c>
      <c r="D161" s="167">
        <f t="shared" si="51"/>
        <v>45985</v>
      </c>
      <c r="E161" s="175" t="s">
        <v>53</v>
      </c>
      <c r="F161" s="86">
        <v>9</v>
      </c>
      <c r="G161" s="153">
        <v>137</v>
      </c>
      <c r="H161" s="154">
        <f t="shared" si="46"/>
        <v>4.6134187490356018</v>
      </c>
      <c r="I161" s="154">
        <f t="shared" si="44"/>
        <v>4.8679546082756167</v>
      </c>
      <c r="J161" s="105">
        <f t="shared" si="47"/>
        <v>666.9097813337595</v>
      </c>
      <c r="K161" s="155">
        <f t="shared" si="41"/>
        <v>632.0383686178775</v>
      </c>
      <c r="L161" s="156">
        <f t="shared" si="52"/>
        <v>34.871412715882002</v>
      </c>
      <c r="M161" s="105">
        <f t="shared" si="48"/>
        <v>2.4968442571996357</v>
      </c>
      <c r="N161" s="157">
        <f t="shared" si="49"/>
        <v>37.368256973081635</v>
      </c>
      <c r="O161" s="105">
        <v>0</v>
      </c>
      <c r="P161" s="105">
        <v>0</v>
      </c>
      <c r="Q161" s="105">
        <v>0</v>
      </c>
      <c r="R161" s="157">
        <f t="shared" si="50"/>
        <v>37.368256973081635</v>
      </c>
    </row>
    <row r="162" spans="1:18" x14ac:dyDescent="0.2">
      <c r="A162" s="86">
        <v>11</v>
      </c>
      <c r="B162" s="151">
        <f t="shared" si="45"/>
        <v>45962</v>
      </c>
      <c r="C162" s="167">
        <f t="shared" si="51"/>
        <v>45994</v>
      </c>
      <c r="D162" s="167">
        <f t="shared" si="51"/>
        <v>46015</v>
      </c>
      <c r="E162" s="175" t="s">
        <v>53</v>
      </c>
      <c r="F162" s="86">
        <v>9</v>
      </c>
      <c r="G162" s="153">
        <v>120</v>
      </c>
      <c r="H162" s="154">
        <f t="shared" si="46"/>
        <v>4.6134187490356018</v>
      </c>
      <c r="I162" s="154">
        <f t="shared" si="44"/>
        <v>4.8679546082756167</v>
      </c>
      <c r="J162" s="105">
        <f t="shared" si="47"/>
        <v>584.15455299307405</v>
      </c>
      <c r="K162" s="155">
        <f t="shared" si="41"/>
        <v>553.61024988427221</v>
      </c>
      <c r="L162" s="156">
        <f t="shared" si="52"/>
        <v>30.544303108801842</v>
      </c>
      <c r="M162" s="105">
        <f t="shared" si="48"/>
        <v>2.1870168676201192</v>
      </c>
      <c r="N162" s="157">
        <f t="shared" si="49"/>
        <v>32.731319976421958</v>
      </c>
      <c r="O162" s="105">
        <v>0</v>
      </c>
      <c r="P162" s="105">
        <v>0</v>
      </c>
      <c r="Q162" s="105">
        <v>0</v>
      </c>
      <c r="R162" s="157">
        <f t="shared" si="50"/>
        <v>32.731319976421958</v>
      </c>
    </row>
    <row r="163" spans="1:18" s="171" customFormat="1" x14ac:dyDescent="0.2">
      <c r="A163" s="86">
        <v>12</v>
      </c>
      <c r="B163" s="169">
        <f t="shared" si="45"/>
        <v>45992</v>
      </c>
      <c r="C163" s="167">
        <f t="shared" si="51"/>
        <v>46028</v>
      </c>
      <c r="D163" s="167">
        <f t="shared" si="51"/>
        <v>46048</v>
      </c>
      <c r="E163" s="176" t="s">
        <v>53</v>
      </c>
      <c r="F163" s="128">
        <v>9</v>
      </c>
      <c r="G163" s="190">
        <v>128</v>
      </c>
      <c r="H163" s="159">
        <f t="shared" si="46"/>
        <v>4.6134187490356018</v>
      </c>
      <c r="I163" s="159">
        <f t="shared" si="44"/>
        <v>4.8679546082756167</v>
      </c>
      <c r="J163" s="160">
        <f t="shared" si="47"/>
        <v>623.09818985927893</v>
      </c>
      <c r="K163" s="161">
        <f t="shared" si="41"/>
        <v>590.51759987655703</v>
      </c>
      <c r="L163" s="162">
        <f t="shared" si="52"/>
        <v>32.580589982721904</v>
      </c>
      <c r="M163" s="160">
        <f t="shared" si="48"/>
        <v>2.3328179921281267</v>
      </c>
      <c r="N163" s="191">
        <f t="shared" si="49"/>
        <v>34.913407974850031</v>
      </c>
      <c r="O163" s="160">
        <v>0</v>
      </c>
      <c r="P163" s="160">
        <v>0</v>
      </c>
      <c r="Q163" s="160">
        <v>0</v>
      </c>
      <c r="R163" s="191">
        <f t="shared" si="50"/>
        <v>34.913407974850031</v>
      </c>
    </row>
    <row r="164" spans="1:18" x14ac:dyDescent="0.2">
      <c r="A164" s="86">
        <v>1</v>
      </c>
      <c r="B164" s="151">
        <f t="shared" si="45"/>
        <v>45658</v>
      </c>
      <c r="C164" s="164">
        <f t="shared" si="51"/>
        <v>45693</v>
      </c>
      <c r="D164" s="164">
        <f t="shared" si="51"/>
        <v>45712</v>
      </c>
      <c r="E164" s="174" t="s">
        <v>54</v>
      </c>
      <c r="F164" s="86">
        <v>9</v>
      </c>
      <c r="G164" s="153">
        <v>11</v>
      </c>
      <c r="H164" s="154">
        <f t="shared" si="46"/>
        <v>4.6134187490356018</v>
      </c>
      <c r="I164" s="154">
        <f t="shared" si="44"/>
        <v>4.8679546082756167</v>
      </c>
      <c r="J164" s="105">
        <f t="shared" si="47"/>
        <v>53.547500691031786</v>
      </c>
      <c r="K164" s="155">
        <f t="shared" si="41"/>
        <v>50.747606239391622</v>
      </c>
      <c r="L164" s="156">
        <f t="shared" si="52"/>
        <v>2.7998944516401636</v>
      </c>
      <c r="M164" s="105">
        <f t="shared" si="48"/>
        <v>0.20047654619851094</v>
      </c>
      <c r="N164" s="157">
        <f t="shared" si="49"/>
        <v>3.0003709978386746</v>
      </c>
      <c r="O164" s="105">
        <v>0</v>
      </c>
      <c r="P164" s="105">
        <v>0</v>
      </c>
      <c r="Q164" s="105">
        <v>0</v>
      </c>
      <c r="R164" s="157">
        <f t="shared" si="50"/>
        <v>3.0003709978386746</v>
      </c>
    </row>
    <row r="165" spans="1:18" x14ac:dyDescent="0.2">
      <c r="A165" s="86">
        <v>2</v>
      </c>
      <c r="B165" s="151">
        <f t="shared" si="45"/>
        <v>45689</v>
      </c>
      <c r="C165" s="167">
        <f t="shared" si="51"/>
        <v>45721</v>
      </c>
      <c r="D165" s="167">
        <f t="shared" si="51"/>
        <v>45740</v>
      </c>
      <c r="E165" s="175" t="s">
        <v>54</v>
      </c>
      <c r="F165" s="86">
        <v>9</v>
      </c>
      <c r="G165" s="153">
        <v>9</v>
      </c>
      <c r="H165" s="154">
        <f t="shared" si="46"/>
        <v>4.6134187490356018</v>
      </c>
      <c r="I165" s="154">
        <f t="shared" si="44"/>
        <v>4.8679546082756167</v>
      </c>
      <c r="J165" s="105">
        <f t="shared" si="47"/>
        <v>43.811591474480551</v>
      </c>
      <c r="K165" s="155">
        <f t="shared" si="41"/>
        <v>41.520768741320417</v>
      </c>
      <c r="L165" s="156">
        <f t="shared" si="52"/>
        <v>2.2908227331601339</v>
      </c>
      <c r="M165" s="105">
        <f t="shared" si="48"/>
        <v>0.16402626507150891</v>
      </c>
      <c r="N165" s="157">
        <f t="shared" si="49"/>
        <v>2.4548489982316428</v>
      </c>
      <c r="O165" s="105">
        <v>0</v>
      </c>
      <c r="P165" s="105">
        <v>0</v>
      </c>
      <c r="Q165" s="105">
        <v>0</v>
      </c>
      <c r="R165" s="157">
        <f t="shared" si="50"/>
        <v>2.4548489982316428</v>
      </c>
    </row>
    <row r="166" spans="1:18" x14ac:dyDescent="0.2">
      <c r="A166" s="86">
        <v>3</v>
      </c>
      <c r="B166" s="151">
        <f t="shared" si="45"/>
        <v>45717</v>
      </c>
      <c r="C166" s="167">
        <f t="shared" si="51"/>
        <v>45750</v>
      </c>
      <c r="D166" s="167">
        <f t="shared" si="51"/>
        <v>45771</v>
      </c>
      <c r="E166" s="175" t="s">
        <v>54</v>
      </c>
      <c r="F166" s="86">
        <v>9</v>
      </c>
      <c r="G166" s="153">
        <v>8</v>
      </c>
      <c r="H166" s="154">
        <f t="shared" si="46"/>
        <v>4.6134187490356018</v>
      </c>
      <c r="I166" s="154">
        <f t="shared" si="44"/>
        <v>4.8679546082756167</v>
      </c>
      <c r="J166" s="105">
        <f t="shared" si="47"/>
        <v>38.943636866204933</v>
      </c>
      <c r="K166" s="155">
        <f t="shared" si="41"/>
        <v>36.907349992284814</v>
      </c>
      <c r="L166" s="156">
        <f>+J166-K166</f>
        <v>2.036286873920119</v>
      </c>
      <c r="M166" s="105">
        <f t="shared" si="48"/>
        <v>0.14580112450800792</v>
      </c>
      <c r="N166" s="157">
        <f t="shared" si="49"/>
        <v>2.182087998428127</v>
      </c>
      <c r="O166" s="105">
        <v>0</v>
      </c>
      <c r="P166" s="105">
        <v>0</v>
      </c>
      <c r="Q166" s="105">
        <v>0</v>
      </c>
      <c r="R166" s="157">
        <f t="shared" si="50"/>
        <v>2.182087998428127</v>
      </c>
    </row>
    <row r="167" spans="1:18" x14ac:dyDescent="0.2">
      <c r="A167" s="86">
        <v>4</v>
      </c>
      <c r="B167" s="151">
        <f t="shared" si="45"/>
        <v>45748</v>
      </c>
      <c r="C167" s="167">
        <f t="shared" si="51"/>
        <v>45782</v>
      </c>
      <c r="D167" s="167">
        <f t="shared" si="51"/>
        <v>45803</v>
      </c>
      <c r="E167" s="175" t="s">
        <v>54</v>
      </c>
      <c r="F167" s="86">
        <v>9</v>
      </c>
      <c r="G167" s="153">
        <v>10</v>
      </c>
      <c r="H167" s="154">
        <f t="shared" si="46"/>
        <v>4.6134187490356018</v>
      </c>
      <c r="I167" s="154">
        <f t="shared" si="44"/>
        <v>4.8679546082756167</v>
      </c>
      <c r="J167" s="105">
        <f t="shared" si="47"/>
        <v>48.679546082756168</v>
      </c>
      <c r="K167" s="155">
        <f t="shared" si="41"/>
        <v>46.13418749035602</v>
      </c>
      <c r="L167" s="156">
        <f t="shared" ref="L167:L177" si="53">+J167-K167</f>
        <v>2.5453585924001487</v>
      </c>
      <c r="M167" s="105">
        <f t="shared" si="48"/>
        <v>0.18225140563500991</v>
      </c>
      <c r="N167" s="157">
        <f t="shared" si="49"/>
        <v>2.7276099980351587</v>
      </c>
      <c r="O167" s="105">
        <v>0</v>
      </c>
      <c r="P167" s="105">
        <v>0</v>
      </c>
      <c r="Q167" s="105">
        <v>0</v>
      </c>
      <c r="R167" s="157">
        <f t="shared" si="50"/>
        <v>2.7276099980351587</v>
      </c>
    </row>
    <row r="168" spans="1:18" x14ac:dyDescent="0.2">
      <c r="A168" s="86">
        <v>5</v>
      </c>
      <c r="B168" s="151">
        <f t="shared" si="45"/>
        <v>45778</v>
      </c>
      <c r="C168" s="167">
        <f t="shared" si="51"/>
        <v>45812</v>
      </c>
      <c r="D168" s="167">
        <f t="shared" si="51"/>
        <v>45832</v>
      </c>
      <c r="E168" s="175" t="s">
        <v>54</v>
      </c>
      <c r="F168" s="86">
        <v>9</v>
      </c>
      <c r="G168" s="153">
        <v>11</v>
      </c>
      <c r="H168" s="154">
        <f t="shared" si="46"/>
        <v>4.6134187490356018</v>
      </c>
      <c r="I168" s="154">
        <f t="shared" si="44"/>
        <v>4.8679546082756167</v>
      </c>
      <c r="J168" s="105">
        <f t="shared" si="47"/>
        <v>53.547500691031786</v>
      </c>
      <c r="K168" s="155">
        <f t="shared" si="41"/>
        <v>50.747606239391622</v>
      </c>
      <c r="L168" s="156">
        <f t="shared" si="53"/>
        <v>2.7998944516401636</v>
      </c>
      <c r="M168" s="105">
        <f t="shared" si="48"/>
        <v>0.20047654619851094</v>
      </c>
      <c r="N168" s="157">
        <f t="shared" si="49"/>
        <v>3.0003709978386746</v>
      </c>
      <c r="O168" s="105">
        <v>0</v>
      </c>
      <c r="P168" s="105">
        <v>0</v>
      </c>
      <c r="Q168" s="105">
        <v>0</v>
      </c>
      <c r="R168" s="157">
        <f t="shared" si="50"/>
        <v>3.0003709978386746</v>
      </c>
    </row>
    <row r="169" spans="1:18" x14ac:dyDescent="0.2">
      <c r="A169" s="86">
        <v>6</v>
      </c>
      <c r="B169" s="151">
        <f t="shared" si="45"/>
        <v>45809</v>
      </c>
      <c r="C169" s="167">
        <f t="shared" si="51"/>
        <v>45841</v>
      </c>
      <c r="D169" s="167">
        <f t="shared" si="51"/>
        <v>45862</v>
      </c>
      <c r="E169" s="175" t="s">
        <v>54</v>
      </c>
      <c r="F169" s="86">
        <v>9</v>
      </c>
      <c r="G169" s="153">
        <v>11</v>
      </c>
      <c r="H169" s="154">
        <f t="shared" si="46"/>
        <v>4.6134187490356018</v>
      </c>
      <c r="I169" s="154">
        <f t="shared" si="44"/>
        <v>4.8679546082756167</v>
      </c>
      <c r="J169" s="105">
        <f t="shared" si="47"/>
        <v>53.547500691031786</v>
      </c>
      <c r="K169" s="155">
        <f t="shared" si="41"/>
        <v>50.747606239391622</v>
      </c>
      <c r="L169" s="156">
        <f t="shared" si="53"/>
        <v>2.7998944516401636</v>
      </c>
      <c r="M169" s="105">
        <f t="shared" si="48"/>
        <v>0.20047654619851094</v>
      </c>
      <c r="N169" s="157">
        <f t="shared" si="49"/>
        <v>3.0003709978386746</v>
      </c>
      <c r="O169" s="105">
        <v>0</v>
      </c>
      <c r="P169" s="105">
        <v>0</v>
      </c>
      <c r="Q169" s="105">
        <v>0</v>
      </c>
      <c r="R169" s="157">
        <f t="shared" si="50"/>
        <v>3.0003709978386746</v>
      </c>
    </row>
    <row r="170" spans="1:18" x14ac:dyDescent="0.2">
      <c r="A170" s="86">
        <v>7</v>
      </c>
      <c r="B170" s="151">
        <f t="shared" si="45"/>
        <v>45839</v>
      </c>
      <c r="C170" s="167">
        <f t="shared" si="51"/>
        <v>45874</v>
      </c>
      <c r="D170" s="167">
        <f t="shared" si="51"/>
        <v>45894</v>
      </c>
      <c r="E170" s="175" t="s">
        <v>54</v>
      </c>
      <c r="F170" s="86">
        <v>9</v>
      </c>
      <c r="G170" s="153">
        <v>14</v>
      </c>
      <c r="H170" s="154">
        <f t="shared" si="46"/>
        <v>4.6134187490356018</v>
      </c>
      <c r="I170" s="154">
        <f t="shared" si="44"/>
        <v>4.8679546082756167</v>
      </c>
      <c r="J170" s="105">
        <f t="shared" si="47"/>
        <v>68.151364515858631</v>
      </c>
      <c r="K170" s="155">
        <f t="shared" si="41"/>
        <v>64.587862486498423</v>
      </c>
      <c r="L170" s="156">
        <f t="shared" si="53"/>
        <v>3.5635020293602082</v>
      </c>
      <c r="M170" s="105">
        <f t="shared" si="48"/>
        <v>0.2551519678890139</v>
      </c>
      <c r="N170" s="157">
        <f t="shared" si="49"/>
        <v>3.8186539972492222</v>
      </c>
      <c r="O170" s="105">
        <v>0</v>
      </c>
      <c r="P170" s="105">
        <v>0</v>
      </c>
      <c r="Q170" s="105">
        <v>0</v>
      </c>
      <c r="R170" s="157">
        <f t="shared" si="50"/>
        <v>3.8186539972492222</v>
      </c>
    </row>
    <row r="171" spans="1:18" x14ac:dyDescent="0.2">
      <c r="A171" s="86">
        <v>8</v>
      </c>
      <c r="B171" s="151">
        <f t="shared" si="45"/>
        <v>45870</v>
      </c>
      <c r="C171" s="167">
        <f t="shared" si="51"/>
        <v>45904</v>
      </c>
      <c r="D171" s="167">
        <f t="shared" si="51"/>
        <v>45924</v>
      </c>
      <c r="E171" s="175" t="s">
        <v>54</v>
      </c>
      <c r="F171" s="86">
        <v>9</v>
      </c>
      <c r="G171" s="153">
        <v>11</v>
      </c>
      <c r="H171" s="154">
        <f t="shared" si="46"/>
        <v>4.6134187490356018</v>
      </c>
      <c r="I171" s="154">
        <f t="shared" si="44"/>
        <v>4.8679546082756167</v>
      </c>
      <c r="J171" s="105">
        <f t="shared" si="47"/>
        <v>53.547500691031786</v>
      </c>
      <c r="K171" s="155">
        <f t="shared" si="41"/>
        <v>50.747606239391622</v>
      </c>
      <c r="L171" s="156">
        <f t="shared" si="53"/>
        <v>2.7998944516401636</v>
      </c>
      <c r="M171" s="105">
        <f t="shared" si="48"/>
        <v>0.20047654619851094</v>
      </c>
      <c r="N171" s="157">
        <f t="shared" si="49"/>
        <v>3.0003709978386746</v>
      </c>
      <c r="O171" s="105">
        <v>0</v>
      </c>
      <c r="P171" s="105">
        <v>0</v>
      </c>
      <c r="Q171" s="105">
        <v>0</v>
      </c>
      <c r="R171" s="157">
        <f t="shared" si="50"/>
        <v>3.0003709978386746</v>
      </c>
    </row>
    <row r="172" spans="1:18" x14ac:dyDescent="0.2">
      <c r="A172" s="86">
        <v>9</v>
      </c>
      <c r="B172" s="151">
        <f t="shared" si="45"/>
        <v>45901</v>
      </c>
      <c r="C172" s="167">
        <f t="shared" ref="C172:D175" si="54">+C160</f>
        <v>45933</v>
      </c>
      <c r="D172" s="167">
        <f t="shared" si="54"/>
        <v>45954</v>
      </c>
      <c r="E172" s="175" t="s">
        <v>54</v>
      </c>
      <c r="F172" s="86">
        <v>9</v>
      </c>
      <c r="G172" s="153">
        <v>12</v>
      </c>
      <c r="H172" s="154">
        <f t="shared" si="46"/>
        <v>4.6134187490356018</v>
      </c>
      <c r="I172" s="154">
        <f t="shared" si="44"/>
        <v>4.8679546082756167</v>
      </c>
      <c r="J172" s="105">
        <f t="shared" si="47"/>
        <v>58.415455299307396</v>
      </c>
      <c r="K172" s="155">
        <f t="shared" si="41"/>
        <v>55.361024988427218</v>
      </c>
      <c r="L172" s="156">
        <f t="shared" si="53"/>
        <v>3.0544303108801785</v>
      </c>
      <c r="M172" s="105">
        <f t="shared" si="48"/>
        <v>0.21870168676201193</v>
      </c>
      <c r="N172" s="157">
        <f t="shared" si="49"/>
        <v>3.2731319976421904</v>
      </c>
      <c r="O172" s="105">
        <v>0</v>
      </c>
      <c r="P172" s="105">
        <v>0</v>
      </c>
      <c r="Q172" s="105">
        <v>0</v>
      </c>
      <c r="R172" s="157">
        <f t="shared" si="50"/>
        <v>3.2731319976421904</v>
      </c>
    </row>
    <row r="173" spans="1:18" x14ac:dyDescent="0.2">
      <c r="A173" s="86">
        <v>10</v>
      </c>
      <c r="B173" s="151">
        <f t="shared" si="45"/>
        <v>45931</v>
      </c>
      <c r="C173" s="167">
        <f t="shared" si="54"/>
        <v>45966</v>
      </c>
      <c r="D173" s="167">
        <f t="shared" si="54"/>
        <v>45985</v>
      </c>
      <c r="E173" s="175" t="s">
        <v>54</v>
      </c>
      <c r="F173" s="86">
        <v>9</v>
      </c>
      <c r="G173" s="153">
        <v>13</v>
      </c>
      <c r="H173" s="154">
        <f t="shared" si="46"/>
        <v>4.6134187490356018</v>
      </c>
      <c r="I173" s="154">
        <f t="shared" si="44"/>
        <v>4.8679546082756167</v>
      </c>
      <c r="J173" s="105">
        <f t="shared" si="47"/>
        <v>63.283409907583014</v>
      </c>
      <c r="K173" s="155">
        <f t="shared" si="41"/>
        <v>59.974443737462821</v>
      </c>
      <c r="L173" s="156">
        <f t="shared" si="53"/>
        <v>3.3089661701201933</v>
      </c>
      <c r="M173" s="105">
        <f t="shared" si="48"/>
        <v>0.2369268273255129</v>
      </c>
      <c r="N173" s="157">
        <f t="shared" si="49"/>
        <v>3.5458929974457063</v>
      </c>
      <c r="O173" s="105">
        <v>0</v>
      </c>
      <c r="P173" s="105">
        <v>0</v>
      </c>
      <c r="Q173" s="105">
        <v>0</v>
      </c>
      <c r="R173" s="157">
        <f t="shared" si="50"/>
        <v>3.5458929974457063</v>
      </c>
    </row>
    <row r="174" spans="1:18" x14ac:dyDescent="0.2">
      <c r="A174" s="86">
        <v>11</v>
      </c>
      <c r="B174" s="151">
        <f t="shared" si="45"/>
        <v>45962</v>
      </c>
      <c r="C174" s="167">
        <f t="shared" si="54"/>
        <v>45994</v>
      </c>
      <c r="D174" s="167">
        <f t="shared" si="54"/>
        <v>46015</v>
      </c>
      <c r="E174" s="175" t="s">
        <v>54</v>
      </c>
      <c r="F174" s="86">
        <v>9</v>
      </c>
      <c r="G174" s="153">
        <v>10</v>
      </c>
      <c r="H174" s="154">
        <f t="shared" si="46"/>
        <v>4.6134187490356018</v>
      </c>
      <c r="I174" s="154">
        <f t="shared" si="44"/>
        <v>4.8679546082756167</v>
      </c>
      <c r="J174" s="105">
        <f t="shared" si="47"/>
        <v>48.679546082756168</v>
      </c>
      <c r="K174" s="155">
        <f t="shared" si="41"/>
        <v>46.13418749035602</v>
      </c>
      <c r="L174" s="156">
        <f t="shared" si="53"/>
        <v>2.5453585924001487</v>
      </c>
      <c r="M174" s="105">
        <f t="shared" si="48"/>
        <v>0.18225140563500991</v>
      </c>
      <c r="N174" s="157">
        <f t="shared" si="49"/>
        <v>2.7276099980351587</v>
      </c>
      <c r="O174" s="105">
        <v>0</v>
      </c>
      <c r="P174" s="105">
        <v>0</v>
      </c>
      <c r="Q174" s="105">
        <v>0</v>
      </c>
      <c r="R174" s="157">
        <f t="shared" si="50"/>
        <v>2.7276099980351587</v>
      </c>
    </row>
    <row r="175" spans="1:18" s="171" customFormat="1" x14ac:dyDescent="0.2">
      <c r="A175" s="86">
        <v>12</v>
      </c>
      <c r="B175" s="169">
        <f t="shared" si="45"/>
        <v>45992</v>
      </c>
      <c r="C175" s="167">
        <f t="shared" si="54"/>
        <v>46028</v>
      </c>
      <c r="D175" s="167">
        <f t="shared" si="54"/>
        <v>46048</v>
      </c>
      <c r="E175" s="176" t="s">
        <v>54</v>
      </c>
      <c r="F175" s="128">
        <v>9</v>
      </c>
      <c r="G175" s="190">
        <v>7</v>
      </c>
      <c r="H175" s="159">
        <f t="shared" si="46"/>
        <v>4.6134187490356018</v>
      </c>
      <c r="I175" s="159">
        <f t="shared" si="44"/>
        <v>4.8679546082756167</v>
      </c>
      <c r="J175" s="160">
        <f t="shared" si="47"/>
        <v>34.075682257929316</v>
      </c>
      <c r="K175" s="161">
        <f t="shared" si="41"/>
        <v>32.293931243249212</v>
      </c>
      <c r="L175" s="162">
        <f t="shared" si="53"/>
        <v>1.7817510146801041</v>
      </c>
      <c r="M175" s="160">
        <f t="shared" si="48"/>
        <v>0.12757598394450695</v>
      </c>
      <c r="N175" s="191">
        <f t="shared" si="49"/>
        <v>1.9093269986246111</v>
      </c>
      <c r="O175" s="160">
        <v>0</v>
      </c>
      <c r="P175" s="160">
        <v>0</v>
      </c>
      <c r="Q175" s="160">
        <v>0</v>
      </c>
      <c r="R175" s="191">
        <f t="shared" si="50"/>
        <v>1.9093269986246111</v>
      </c>
    </row>
    <row r="176" spans="1:18" x14ac:dyDescent="0.2">
      <c r="A176" s="86">
        <v>1</v>
      </c>
      <c r="B176" s="151">
        <f t="shared" si="45"/>
        <v>45658</v>
      </c>
      <c r="C176" s="164">
        <f t="shared" ref="C176:D187" si="55">+C152</f>
        <v>45693</v>
      </c>
      <c r="D176" s="164">
        <f t="shared" si="55"/>
        <v>45712</v>
      </c>
      <c r="E176" s="174" t="s">
        <v>55</v>
      </c>
      <c r="F176" s="86">
        <v>9</v>
      </c>
      <c r="G176" s="153">
        <v>0</v>
      </c>
      <c r="H176" s="154">
        <f t="shared" si="46"/>
        <v>4.6134187490356018</v>
      </c>
      <c r="I176" s="154">
        <f t="shared" si="44"/>
        <v>4.8679546082756167</v>
      </c>
      <c r="J176" s="105">
        <f t="shared" si="47"/>
        <v>0</v>
      </c>
      <c r="K176" s="155">
        <f t="shared" si="41"/>
        <v>0</v>
      </c>
      <c r="L176" s="156">
        <f t="shared" si="53"/>
        <v>0</v>
      </c>
      <c r="M176" s="105">
        <f t="shared" si="48"/>
        <v>0</v>
      </c>
      <c r="N176" s="157">
        <f t="shared" si="49"/>
        <v>0</v>
      </c>
      <c r="O176" s="105">
        <v>0</v>
      </c>
      <c r="P176" s="105">
        <v>0</v>
      </c>
      <c r="Q176" s="105">
        <v>0</v>
      </c>
      <c r="R176" s="157">
        <f t="shared" si="50"/>
        <v>0</v>
      </c>
    </row>
    <row r="177" spans="1:18" x14ac:dyDescent="0.2">
      <c r="A177" s="86">
        <v>2</v>
      </c>
      <c r="B177" s="151">
        <f t="shared" si="45"/>
        <v>45689</v>
      </c>
      <c r="C177" s="167">
        <f t="shared" si="55"/>
        <v>45721</v>
      </c>
      <c r="D177" s="167">
        <f t="shared" si="55"/>
        <v>45740</v>
      </c>
      <c r="E177" s="1" t="s">
        <v>55</v>
      </c>
      <c r="F177" s="86">
        <v>9</v>
      </c>
      <c r="G177" s="153">
        <v>0</v>
      </c>
      <c r="H177" s="154">
        <f t="shared" si="46"/>
        <v>4.6134187490356018</v>
      </c>
      <c r="I177" s="154">
        <f t="shared" si="44"/>
        <v>4.8679546082756167</v>
      </c>
      <c r="J177" s="105">
        <f t="shared" si="47"/>
        <v>0</v>
      </c>
      <c r="K177" s="155">
        <f t="shared" si="41"/>
        <v>0</v>
      </c>
      <c r="L177" s="156">
        <f t="shared" si="53"/>
        <v>0</v>
      </c>
      <c r="M177" s="105">
        <f t="shared" si="48"/>
        <v>0</v>
      </c>
      <c r="N177" s="157">
        <f t="shared" si="49"/>
        <v>0</v>
      </c>
      <c r="O177" s="105">
        <v>0</v>
      </c>
      <c r="P177" s="105">
        <v>0</v>
      </c>
      <c r="Q177" s="105">
        <v>0</v>
      </c>
      <c r="R177" s="157">
        <f t="shared" si="50"/>
        <v>0</v>
      </c>
    </row>
    <row r="178" spans="1:18" x14ac:dyDescent="0.2">
      <c r="A178" s="86">
        <v>3</v>
      </c>
      <c r="B178" s="151">
        <f t="shared" si="45"/>
        <v>45717</v>
      </c>
      <c r="C178" s="167">
        <f t="shared" si="55"/>
        <v>45750</v>
      </c>
      <c r="D178" s="167">
        <f t="shared" si="55"/>
        <v>45771</v>
      </c>
      <c r="E178" s="1" t="s">
        <v>55</v>
      </c>
      <c r="F178" s="86">
        <v>9</v>
      </c>
      <c r="G178" s="153">
        <v>0</v>
      </c>
      <c r="H178" s="154">
        <f t="shared" si="46"/>
        <v>4.6134187490356018</v>
      </c>
      <c r="I178" s="154">
        <f t="shared" si="44"/>
        <v>4.8679546082756167</v>
      </c>
      <c r="J178" s="105">
        <f t="shared" si="47"/>
        <v>0</v>
      </c>
      <c r="K178" s="155">
        <f t="shared" si="41"/>
        <v>0</v>
      </c>
      <c r="L178" s="156">
        <f>+J178-K178</f>
        <v>0</v>
      </c>
      <c r="M178" s="105">
        <f t="shared" si="48"/>
        <v>0</v>
      </c>
      <c r="N178" s="157">
        <f t="shared" si="49"/>
        <v>0</v>
      </c>
      <c r="O178" s="105">
        <v>0</v>
      </c>
      <c r="P178" s="105">
        <v>0</v>
      </c>
      <c r="Q178" s="105">
        <v>0</v>
      </c>
      <c r="R178" s="157">
        <f t="shared" si="50"/>
        <v>0</v>
      </c>
    </row>
    <row r="179" spans="1:18" x14ac:dyDescent="0.2">
      <c r="A179" s="86">
        <v>4</v>
      </c>
      <c r="B179" s="151">
        <f t="shared" si="45"/>
        <v>45748</v>
      </c>
      <c r="C179" s="167">
        <f t="shared" si="55"/>
        <v>45782</v>
      </c>
      <c r="D179" s="167">
        <f t="shared" si="55"/>
        <v>45803</v>
      </c>
      <c r="E179" s="1" t="s">
        <v>55</v>
      </c>
      <c r="F179" s="86">
        <v>9</v>
      </c>
      <c r="G179" s="153">
        <v>0</v>
      </c>
      <c r="H179" s="154">
        <f t="shared" si="46"/>
        <v>4.6134187490356018</v>
      </c>
      <c r="I179" s="154">
        <f t="shared" si="44"/>
        <v>4.8679546082756167</v>
      </c>
      <c r="J179" s="105">
        <f t="shared" si="47"/>
        <v>0</v>
      </c>
      <c r="K179" s="155">
        <f t="shared" si="41"/>
        <v>0</v>
      </c>
      <c r="L179" s="156">
        <f t="shared" ref="L179:L189" si="56">+J179-K179</f>
        <v>0</v>
      </c>
      <c r="M179" s="105">
        <f t="shared" si="48"/>
        <v>0</v>
      </c>
      <c r="N179" s="157">
        <f t="shared" si="49"/>
        <v>0</v>
      </c>
      <c r="O179" s="105">
        <v>0</v>
      </c>
      <c r="P179" s="105">
        <v>0</v>
      </c>
      <c r="Q179" s="105">
        <v>0</v>
      </c>
      <c r="R179" s="157">
        <f t="shared" si="50"/>
        <v>0</v>
      </c>
    </row>
    <row r="180" spans="1:18" x14ac:dyDescent="0.2">
      <c r="A180" s="86">
        <v>5</v>
      </c>
      <c r="B180" s="151">
        <f t="shared" si="45"/>
        <v>45778</v>
      </c>
      <c r="C180" s="167">
        <f t="shared" si="55"/>
        <v>45812</v>
      </c>
      <c r="D180" s="167">
        <f t="shared" si="55"/>
        <v>45832</v>
      </c>
      <c r="E180" s="1" t="s">
        <v>55</v>
      </c>
      <c r="F180" s="86">
        <v>9</v>
      </c>
      <c r="G180" s="153">
        <v>0</v>
      </c>
      <c r="H180" s="154">
        <f t="shared" si="46"/>
        <v>4.6134187490356018</v>
      </c>
      <c r="I180" s="154">
        <f t="shared" ref="I180:I211" si="57">$J$3</f>
        <v>4.8679546082756167</v>
      </c>
      <c r="J180" s="105">
        <f t="shared" si="47"/>
        <v>0</v>
      </c>
      <c r="K180" s="155">
        <f t="shared" si="41"/>
        <v>0</v>
      </c>
      <c r="L180" s="156">
        <f t="shared" si="56"/>
        <v>0</v>
      </c>
      <c r="M180" s="105">
        <f t="shared" si="48"/>
        <v>0</v>
      </c>
      <c r="N180" s="157">
        <f t="shared" si="49"/>
        <v>0</v>
      </c>
      <c r="O180" s="105">
        <v>0</v>
      </c>
      <c r="P180" s="105">
        <v>0</v>
      </c>
      <c r="Q180" s="105">
        <v>0</v>
      </c>
      <c r="R180" s="157">
        <f t="shared" si="50"/>
        <v>0</v>
      </c>
    </row>
    <row r="181" spans="1:18" x14ac:dyDescent="0.2">
      <c r="A181" s="86">
        <v>6</v>
      </c>
      <c r="B181" s="151">
        <f t="shared" si="45"/>
        <v>45809</v>
      </c>
      <c r="C181" s="167">
        <f t="shared" si="55"/>
        <v>45841</v>
      </c>
      <c r="D181" s="167">
        <f t="shared" si="55"/>
        <v>45862</v>
      </c>
      <c r="E181" s="1" t="s">
        <v>55</v>
      </c>
      <c r="F181" s="86">
        <v>9</v>
      </c>
      <c r="G181" s="153">
        <v>0</v>
      </c>
      <c r="H181" s="154">
        <f t="shared" si="46"/>
        <v>4.6134187490356018</v>
      </c>
      <c r="I181" s="154">
        <f t="shared" si="57"/>
        <v>4.8679546082756167</v>
      </c>
      <c r="J181" s="105">
        <f t="shared" si="47"/>
        <v>0</v>
      </c>
      <c r="K181" s="155">
        <f t="shared" si="41"/>
        <v>0</v>
      </c>
      <c r="L181" s="156">
        <f t="shared" si="56"/>
        <v>0</v>
      </c>
      <c r="M181" s="105">
        <f t="shared" si="48"/>
        <v>0</v>
      </c>
      <c r="N181" s="157">
        <f t="shared" si="49"/>
        <v>0</v>
      </c>
      <c r="O181" s="105">
        <v>0</v>
      </c>
      <c r="P181" s="105">
        <v>0</v>
      </c>
      <c r="Q181" s="105">
        <v>0</v>
      </c>
      <c r="R181" s="157">
        <f t="shared" si="50"/>
        <v>0</v>
      </c>
    </row>
    <row r="182" spans="1:18" x14ac:dyDescent="0.2">
      <c r="A182" s="86">
        <v>7</v>
      </c>
      <c r="B182" s="151">
        <f t="shared" si="45"/>
        <v>45839</v>
      </c>
      <c r="C182" s="167">
        <f t="shared" si="55"/>
        <v>45874</v>
      </c>
      <c r="D182" s="167">
        <f t="shared" si="55"/>
        <v>45894</v>
      </c>
      <c r="E182" s="1" t="s">
        <v>55</v>
      </c>
      <c r="F182" s="86">
        <v>9</v>
      </c>
      <c r="G182" s="153">
        <v>0</v>
      </c>
      <c r="H182" s="154">
        <f t="shared" si="46"/>
        <v>4.6134187490356018</v>
      </c>
      <c r="I182" s="154">
        <f t="shared" si="57"/>
        <v>4.8679546082756167</v>
      </c>
      <c r="J182" s="105">
        <f t="shared" si="47"/>
        <v>0</v>
      </c>
      <c r="K182" s="155">
        <f t="shared" si="41"/>
        <v>0</v>
      </c>
      <c r="L182" s="156">
        <f t="shared" si="56"/>
        <v>0</v>
      </c>
      <c r="M182" s="105">
        <f t="shared" si="48"/>
        <v>0</v>
      </c>
      <c r="N182" s="157">
        <f t="shared" si="49"/>
        <v>0</v>
      </c>
      <c r="O182" s="105">
        <v>0</v>
      </c>
      <c r="P182" s="105">
        <v>0</v>
      </c>
      <c r="Q182" s="105">
        <v>0</v>
      </c>
      <c r="R182" s="157">
        <f t="shared" si="50"/>
        <v>0</v>
      </c>
    </row>
    <row r="183" spans="1:18" x14ac:dyDescent="0.2">
      <c r="A183" s="86">
        <v>8</v>
      </c>
      <c r="B183" s="151">
        <f t="shared" si="45"/>
        <v>45870</v>
      </c>
      <c r="C183" s="167">
        <f t="shared" si="55"/>
        <v>45904</v>
      </c>
      <c r="D183" s="167">
        <f t="shared" si="55"/>
        <v>45924</v>
      </c>
      <c r="E183" s="1" t="s">
        <v>55</v>
      </c>
      <c r="F183" s="86">
        <v>9</v>
      </c>
      <c r="G183" s="153">
        <v>0</v>
      </c>
      <c r="H183" s="154">
        <f t="shared" si="46"/>
        <v>4.6134187490356018</v>
      </c>
      <c r="I183" s="154">
        <f t="shared" si="57"/>
        <v>4.8679546082756167</v>
      </c>
      <c r="J183" s="105">
        <f t="shared" si="47"/>
        <v>0</v>
      </c>
      <c r="K183" s="155">
        <f t="shared" si="41"/>
        <v>0</v>
      </c>
      <c r="L183" s="156">
        <f t="shared" si="56"/>
        <v>0</v>
      </c>
      <c r="M183" s="105">
        <f t="shared" si="48"/>
        <v>0</v>
      </c>
      <c r="N183" s="157">
        <f t="shared" si="49"/>
        <v>0</v>
      </c>
      <c r="O183" s="105">
        <v>0</v>
      </c>
      <c r="P183" s="105">
        <v>0</v>
      </c>
      <c r="Q183" s="105">
        <v>0</v>
      </c>
      <c r="R183" s="157">
        <f t="shared" si="50"/>
        <v>0</v>
      </c>
    </row>
    <row r="184" spans="1:18" x14ac:dyDescent="0.2">
      <c r="A184" s="86">
        <v>9</v>
      </c>
      <c r="B184" s="151">
        <f t="shared" si="45"/>
        <v>45901</v>
      </c>
      <c r="C184" s="167">
        <f t="shared" si="55"/>
        <v>45933</v>
      </c>
      <c r="D184" s="167">
        <f t="shared" si="55"/>
        <v>45954</v>
      </c>
      <c r="E184" s="1" t="s">
        <v>55</v>
      </c>
      <c r="F184" s="86">
        <v>9</v>
      </c>
      <c r="G184" s="153">
        <v>0</v>
      </c>
      <c r="H184" s="154">
        <f t="shared" si="46"/>
        <v>4.6134187490356018</v>
      </c>
      <c r="I184" s="154">
        <f t="shared" si="57"/>
        <v>4.8679546082756167</v>
      </c>
      <c r="J184" s="105">
        <f t="shared" si="47"/>
        <v>0</v>
      </c>
      <c r="K184" s="155">
        <f t="shared" si="41"/>
        <v>0</v>
      </c>
      <c r="L184" s="156">
        <f t="shared" si="56"/>
        <v>0</v>
      </c>
      <c r="M184" s="105">
        <f t="shared" si="48"/>
        <v>0</v>
      </c>
      <c r="N184" s="157">
        <f t="shared" si="49"/>
        <v>0</v>
      </c>
      <c r="O184" s="105">
        <v>0</v>
      </c>
      <c r="P184" s="105">
        <v>0</v>
      </c>
      <c r="Q184" s="105">
        <v>0</v>
      </c>
      <c r="R184" s="157">
        <f t="shared" si="50"/>
        <v>0</v>
      </c>
    </row>
    <row r="185" spans="1:18" x14ac:dyDescent="0.2">
      <c r="A185" s="86">
        <v>10</v>
      </c>
      <c r="B185" s="151">
        <f t="shared" si="45"/>
        <v>45931</v>
      </c>
      <c r="C185" s="167">
        <f t="shared" si="55"/>
        <v>45966</v>
      </c>
      <c r="D185" s="167">
        <f t="shared" si="55"/>
        <v>45985</v>
      </c>
      <c r="E185" s="1" t="s">
        <v>55</v>
      </c>
      <c r="F185" s="86">
        <v>9</v>
      </c>
      <c r="G185" s="153">
        <v>0</v>
      </c>
      <c r="H185" s="154">
        <f t="shared" si="46"/>
        <v>4.6134187490356018</v>
      </c>
      <c r="I185" s="154">
        <f t="shared" si="57"/>
        <v>4.8679546082756167</v>
      </c>
      <c r="J185" s="105">
        <f t="shared" si="47"/>
        <v>0</v>
      </c>
      <c r="K185" s="155">
        <f t="shared" si="41"/>
        <v>0</v>
      </c>
      <c r="L185" s="156">
        <f t="shared" si="56"/>
        <v>0</v>
      </c>
      <c r="M185" s="105">
        <f t="shared" si="48"/>
        <v>0</v>
      </c>
      <c r="N185" s="157">
        <f t="shared" si="49"/>
        <v>0</v>
      </c>
      <c r="O185" s="105">
        <v>0</v>
      </c>
      <c r="P185" s="105">
        <v>0</v>
      </c>
      <c r="Q185" s="105">
        <v>0</v>
      </c>
      <c r="R185" s="157">
        <f t="shared" si="50"/>
        <v>0</v>
      </c>
    </row>
    <row r="186" spans="1:18" x14ac:dyDescent="0.2">
      <c r="A186" s="86">
        <v>11</v>
      </c>
      <c r="B186" s="151">
        <f t="shared" si="45"/>
        <v>45962</v>
      </c>
      <c r="C186" s="167">
        <f t="shared" si="55"/>
        <v>45994</v>
      </c>
      <c r="D186" s="167">
        <f t="shared" si="55"/>
        <v>46015</v>
      </c>
      <c r="E186" s="1" t="s">
        <v>55</v>
      </c>
      <c r="F186" s="86">
        <v>9</v>
      </c>
      <c r="G186" s="153">
        <v>0</v>
      </c>
      <c r="H186" s="154">
        <f t="shared" si="46"/>
        <v>4.6134187490356018</v>
      </c>
      <c r="I186" s="154">
        <f t="shared" si="57"/>
        <v>4.8679546082756167</v>
      </c>
      <c r="J186" s="105">
        <f t="shared" si="47"/>
        <v>0</v>
      </c>
      <c r="K186" s="155">
        <f t="shared" si="41"/>
        <v>0</v>
      </c>
      <c r="L186" s="156">
        <f t="shared" si="56"/>
        <v>0</v>
      </c>
      <c r="M186" s="105">
        <f t="shared" si="48"/>
        <v>0</v>
      </c>
      <c r="N186" s="157">
        <f t="shared" si="49"/>
        <v>0</v>
      </c>
      <c r="O186" s="105">
        <v>0</v>
      </c>
      <c r="P186" s="105">
        <v>0</v>
      </c>
      <c r="Q186" s="105">
        <v>0</v>
      </c>
      <c r="R186" s="157">
        <f t="shared" si="50"/>
        <v>0</v>
      </c>
    </row>
    <row r="187" spans="1:18" s="171" customFormat="1" x14ac:dyDescent="0.2">
      <c r="A187" s="86">
        <v>12</v>
      </c>
      <c r="B187" s="169">
        <f t="shared" si="45"/>
        <v>45992</v>
      </c>
      <c r="C187" s="167">
        <f t="shared" si="55"/>
        <v>46028</v>
      </c>
      <c r="D187" s="167">
        <f t="shared" si="55"/>
        <v>46048</v>
      </c>
      <c r="E187" s="170" t="s">
        <v>55</v>
      </c>
      <c r="F187" s="128">
        <v>9</v>
      </c>
      <c r="G187" s="190">
        <v>0</v>
      </c>
      <c r="H187" s="159">
        <f t="shared" si="46"/>
        <v>4.6134187490356018</v>
      </c>
      <c r="I187" s="159">
        <f t="shared" si="57"/>
        <v>4.8679546082756167</v>
      </c>
      <c r="J187" s="160">
        <f t="shared" si="47"/>
        <v>0</v>
      </c>
      <c r="K187" s="161">
        <f t="shared" si="41"/>
        <v>0</v>
      </c>
      <c r="L187" s="162">
        <f t="shared" si="56"/>
        <v>0</v>
      </c>
      <c r="M187" s="160">
        <f t="shared" si="48"/>
        <v>0</v>
      </c>
      <c r="N187" s="191">
        <f t="shared" si="49"/>
        <v>0</v>
      </c>
      <c r="O187" s="160">
        <v>0</v>
      </c>
      <c r="P187" s="160">
        <v>0</v>
      </c>
      <c r="Q187" s="160">
        <v>0</v>
      </c>
      <c r="R187" s="191">
        <f t="shared" si="50"/>
        <v>0</v>
      </c>
    </row>
    <row r="188" spans="1:18" x14ac:dyDescent="0.2">
      <c r="A188" s="86">
        <v>1</v>
      </c>
      <c r="B188" s="151">
        <f t="shared" si="45"/>
        <v>45658</v>
      </c>
      <c r="C188" s="164">
        <f t="shared" ref="C188:D211" si="58">+C176</f>
        <v>45693</v>
      </c>
      <c r="D188" s="164">
        <f t="shared" si="58"/>
        <v>45712</v>
      </c>
      <c r="E188" s="152" t="s">
        <v>56</v>
      </c>
      <c r="F188" s="86">
        <v>9</v>
      </c>
      <c r="G188" s="153">
        <v>37</v>
      </c>
      <c r="H188" s="154">
        <f t="shared" si="46"/>
        <v>4.6134187490356018</v>
      </c>
      <c r="I188" s="154">
        <f t="shared" si="57"/>
        <v>4.8679546082756167</v>
      </c>
      <c r="J188" s="105">
        <f t="shared" si="47"/>
        <v>180.11432050619783</v>
      </c>
      <c r="K188" s="155">
        <f t="shared" si="41"/>
        <v>170.69649371431726</v>
      </c>
      <c r="L188" s="156">
        <f t="shared" si="56"/>
        <v>9.4178267918805716</v>
      </c>
      <c r="M188" s="105">
        <f t="shared" si="48"/>
        <v>0.67433020084953676</v>
      </c>
      <c r="N188" s="157">
        <f t="shared" si="49"/>
        <v>10.092156992730109</v>
      </c>
      <c r="O188" s="105">
        <v>0</v>
      </c>
      <c r="P188" s="105">
        <v>0</v>
      </c>
      <c r="Q188" s="105">
        <v>0</v>
      </c>
      <c r="R188" s="157">
        <f t="shared" si="50"/>
        <v>10.092156992730109</v>
      </c>
    </row>
    <row r="189" spans="1:18" x14ac:dyDescent="0.2">
      <c r="A189" s="86">
        <v>2</v>
      </c>
      <c r="B189" s="151">
        <f t="shared" si="45"/>
        <v>45689</v>
      </c>
      <c r="C189" s="167">
        <f t="shared" si="58"/>
        <v>45721</v>
      </c>
      <c r="D189" s="167">
        <f t="shared" si="58"/>
        <v>45740</v>
      </c>
      <c r="E189" s="158" t="s">
        <v>56</v>
      </c>
      <c r="F189" s="86">
        <v>9</v>
      </c>
      <c r="G189" s="153">
        <v>42</v>
      </c>
      <c r="H189" s="154">
        <f t="shared" si="46"/>
        <v>4.6134187490356018</v>
      </c>
      <c r="I189" s="154">
        <f t="shared" si="57"/>
        <v>4.8679546082756167</v>
      </c>
      <c r="J189" s="105">
        <f t="shared" si="47"/>
        <v>204.45409354757589</v>
      </c>
      <c r="K189" s="155">
        <f t="shared" si="41"/>
        <v>193.76358745949528</v>
      </c>
      <c r="L189" s="156">
        <f t="shared" si="56"/>
        <v>10.69050608808061</v>
      </c>
      <c r="M189" s="105">
        <f t="shared" si="48"/>
        <v>0.76545590366704164</v>
      </c>
      <c r="N189" s="157">
        <f t="shared" si="49"/>
        <v>11.455961991747651</v>
      </c>
      <c r="O189" s="105">
        <v>0</v>
      </c>
      <c r="P189" s="105">
        <v>0</v>
      </c>
      <c r="Q189" s="105">
        <v>0</v>
      </c>
      <c r="R189" s="157">
        <f t="shared" si="50"/>
        <v>11.455961991747651</v>
      </c>
    </row>
    <row r="190" spans="1:18" x14ac:dyDescent="0.2">
      <c r="A190" s="86">
        <v>3</v>
      </c>
      <c r="B190" s="151">
        <f t="shared" si="45"/>
        <v>45717</v>
      </c>
      <c r="C190" s="167">
        <f t="shared" si="58"/>
        <v>45750</v>
      </c>
      <c r="D190" s="167">
        <f t="shared" si="58"/>
        <v>45771</v>
      </c>
      <c r="E190" s="158" t="s">
        <v>56</v>
      </c>
      <c r="F190" s="86">
        <v>9</v>
      </c>
      <c r="G190" s="153">
        <v>30</v>
      </c>
      <c r="H190" s="154">
        <f t="shared" si="46"/>
        <v>4.6134187490356018</v>
      </c>
      <c r="I190" s="154">
        <f t="shared" si="57"/>
        <v>4.8679546082756167</v>
      </c>
      <c r="J190" s="105">
        <f t="shared" si="47"/>
        <v>146.03863824826851</v>
      </c>
      <c r="K190" s="155">
        <f t="shared" si="41"/>
        <v>138.40256247106805</v>
      </c>
      <c r="L190" s="156">
        <f>+J190-K190</f>
        <v>7.6360757772004604</v>
      </c>
      <c r="M190" s="105">
        <f t="shared" si="48"/>
        <v>0.54675421690502979</v>
      </c>
      <c r="N190" s="157">
        <f t="shared" si="49"/>
        <v>8.1828299941054894</v>
      </c>
      <c r="O190" s="105">
        <v>0</v>
      </c>
      <c r="P190" s="105">
        <v>0</v>
      </c>
      <c r="Q190" s="105">
        <v>0</v>
      </c>
      <c r="R190" s="157">
        <f t="shared" si="50"/>
        <v>8.1828299941054894</v>
      </c>
    </row>
    <row r="191" spans="1:18" x14ac:dyDescent="0.2">
      <c r="A191" s="86">
        <v>4</v>
      </c>
      <c r="B191" s="151">
        <f t="shared" si="45"/>
        <v>45748</v>
      </c>
      <c r="C191" s="167">
        <f t="shared" si="58"/>
        <v>45782</v>
      </c>
      <c r="D191" s="167">
        <f t="shared" si="58"/>
        <v>45803</v>
      </c>
      <c r="E191" s="1" t="s">
        <v>56</v>
      </c>
      <c r="F191" s="86">
        <v>9</v>
      </c>
      <c r="G191" s="153">
        <v>32</v>
      </c>
      <c r="H191" s="154">
        <f t="shared" si="46"/>
        <v>4.6134187490356018</v>
      </c>
      <c r="I191" s="154">
        <f t="shared" si="57"/>
        <v>4.8679546082756167</v>
      </c>
      <c r="J191" s="105">
        <f t="shared" si="47"/>
        <v>155.77454746481973</v>
      </c>
      <c r="K191" s="155">
        <f t="shared" si="41"/>
        <v>147.62939996913926</v>
      </c>
      <c r="L191" s="156">
        <f t="shared" ref="L191:L201" si="59">+J191-K191</f>
        <v>8.1451474956804759</v>
      </c>
      <c r="M191" s="105">
        <f t="shared" si="48"/>
        <v>0.58320449803203167</v>
      </c>
      <c r="N191" s="157">
        <f t="shared" si="49"/>
        <v>8.7283519937125078</v>
      </c>
      <c r="O191" s="105">
        <v>0</v>
      </c>
      <c r="P191" s="105">
        <v>0</v>
      </c>
      <c r="Q191" s="105">
        <v>0</v>
      </c>
      <c r="R191" s="157">
        <f t="shared" si="50"/>
        <v>8.7283519937125078</v>
      </c>
    </row>
    <row r="192" spans="1:18" x14ac:dyDescent="0.2">
      <c r="A192" s="86">
        <v>5</v>
      </c>
      <c r="B192" s="151">
        <f t="shared" si="45"/>
        <v>45778</v>
      </c>
      <c r="C192" s="167">
        <f t="shared" si="58"/>
        <v>45812</v>
      </c>
      <c r="D192" s="167">
        <f t="shared" si="58"/>
        <v>45832</v>
      </c>
      <c r="E192" s="1" t="s">
        <v>56</v>
      </c>
      <c r="F192" s="86">
        <v>9</v>
      </c>
      <c r="G192" s="153">
        <v>39</v>
      </c>
      <c r="H192" s="154">
        <f t="shared" si="46"/>
        <v>4.6134187490356018</v>
      </c>
      <c r="I192" s="154">
        <f t="shared" si="57"/>
        <v>4.8679546082756167</v>
      </c>
      <c r="J192" s="105">
        <f t="shared" si="47"/>
        <v>189.85022972274905</v>
      </c>
      <c r="K192" s="155">
        <f t="shared" si="41"/>
        <v>179.92333121238846</v>
      </c>
      <c r="L192" s="156">
        <f t="shared" si="59"/>
        <v>9.9268985103605871</v>
      </c>
      <c r="M192" s="105">
        <f t="shared" si="48"/>
        <v>0.71078048197653876</v>
      </c>
      <c r="N192" s="157">
        <f t="shared" si="49"/>
        <v>10.637678992337126</v>
      </c>
      <c r="O192" s="105">
        <v>0</v>
      </c>
      <c r="P192" s="105">
        <v>0</v>
      </c>
      <c r="Q192" s="105">
        <v>0</v>
      </c>
      <c r="R192" s="157">
        <f t="shared" si="50"/>
        <v>10.637678992337126</v>
      </c>
    </row>
    <row r="193" spans="1:18" x14ac:dyDescent="0.2">
      <c r="A193" s="86">
        <v>6</v>
      </c>
      <c r="B193" s="151">
        <f t="shared" si="45"/>
        <v>45809</v>
      </c>
      <c r="C193" s="167">
        <f t="shared" si="58"/>
        <v>45841</v>
      </c>
      <c r="D193" s="167">
        <f t="shared" si="58"/>
        <v>45862</v>
      </c>
      <c r="E193" s="1" t="s">
        <v>56</v>
      </c>
      <c r="F193" s="86">
        <v>9</v>
      </c>
      <c r="G193" s="153">
        <v>47</v>
      </c>
      <c r="H193" s="154">
        <f t="shared" si="46"/>
        <v>4.6134187490356018</v>
      </c>
      <c r="I193" s="154">
        <f t="shared" si="57"/>
        <v>4.8679546082756167</v>
      </c>
      <c r="J193" s="105">
        <f t="shared" si="47"/>
        <v>228.79386658895399</v>
      </c>
      <c r="K193" s="155">
        <f t="shared" si="41"/>
        <v>216.83068120467328</v>
      </c>
      <c r="L193" s="156">
        <f t="shared" si="59"/>
        <v>11.963185384280706</v>
      </c>
      <c r="M193" s="105">
        <f t="shared" si="48"/>
        <v>0.85658160648454662</v>
      </c>
      <c r="N193" s="157">
        <f t="shared" si="49"/>
        <v>12.819766990765253</v>
      </c>
      <c r="O193" s="105">
        <v>0</v>
      </c>
      <c r="P193" s="105">
        <v>0</v>
      </c>
      <c r="Q193" s="105">
        <v>0</v>
      </c>
      <c r="R193" s="157">
        <f t="shared" si="50"/>
        <v>12.819766990765253</v>
      </c>
    </row>
    <row r="194" spans="1:18" x14ac:dyDescent="0.2">
      <c r="A194" s="86">
        <v>7</v>
      </c>
      <c r="B194" s="151">
        <f t="shared" si="45"/>
        <v>45839</v>
      </c>
      <c r="C194" s="167">
        <f t="shared" si="58"/>
        <v>45874</v>
      </c>
      <c r="D194" s="167">
        <f t="shared" si="58"/>
        <v>45894</v>
      </c>
      <c r="E194" s="1" t="s">
        <v>56</v>
      </c>
      <c r="F194" s="86">
        <v>9</v>
      </c>
      <c r="G194" s="153">
        <v>53</v>
      </c>
      <c r="H194" s="154">
        <f t="shared" si="46"/>
        <v>4.6134187490356018</v>
      </c>
      <c r="I194" s="154">
        <f t="shared" si="57"/>
        <v>4.8679546082756167</v>
      </c>
      <c r="J194" s="105">
        <f t="shared" si="47"/>
        <v>258.00159423860771</v>
      </c>
      <c r="K194" s="155">
        <f t="shared" si="41"/>
        <v>244.5111936988869</v>
      </c>
      <c r="L194" s="156">
        <f t="shared" si="59"/>
        <v>13.49040053972081</v>
      </c>
      <c r="M194" s="105">
        <f t="shared" si="48"/>
        <v>0.9659324498655526</v>
      </c>
      <c r="N194" s="157">
        <f t="shared" si="49"/>
        <v>14.456332989586363</v>
      </c>
      <c r="O194" s="105">
        <v>0</v>
      </c>
      <c r="P194" s="105">
        <v>0</v>
      </c>
      <c r="Q194" s="105">
        <v>0</v>
      </c>
      <c r="R194" s="157">
        <f t="shared" si="50"/>
        <v>14.456332989586363</v>
      </c>
    </row>
    <row r="195" spans="1:18" x14ac:dyDescent="0.2">
      <c r="A195" s="86">
        <v>8</v>
      </c>
      <c r="B195" s="151">
        <f t="shared" si="45"/>
        <v>45870</v>
      </c>
      <c r="C195" s="167">
        <f t="shared" si="58"/>
        <v>45904</v>
      </c>
      <c r="D195" s="167">
        <f t="shared" si="58"/>
        <v>45924</v>
      </c>
      <c r="E195" s="1" t="s">
        <v>56</v>
      </c>
      <c r="F195" s="86">
        <v>9</v>
      </c>
      <c r="G195" s="153">
        <v>52</v>
      </c>
      <c r="H195" s="154">
        <f t="shared" si="46"/>
        <v>4.6134187490356018</v>
      </c>
      <c r="I195" s="154">
        <f t="shared" si="57"/>
        <v>4.8679546082756167</v>
      </c>
      <c r="J195" s="105">
        <f t="shared" si="47"/>
        <v>253.13363963033206</v>
      </c>
      <c r="K195" s="155">
        <f t="shared" si="41"/>
        <v>239.89777494985128</v>
      </c>
      <c r="L195" s="156">
        <f t="shared" si="59"/>
        <v>13.235864680480773</v>
      </c>
      <c r="M195" s="105">
        <f t="shared" si="48"/>
        <v>0.9477073093020516</v>
      </c>
      <c r="N195" s="157">
        <f t="shared" si="49"/>
        <v>14.183571989782825</v>
      </c>
      <c r="O195" s="105">
        <v>0</v>
      </c>
      <c r="P195" s="105">
        <v>0</v>
      </c>
      <c r="Q195" s="105">
        <v>0</v>
      </c>
      <c r="R195" s="157">
        <f t="shared" si="50"/>
        <v>14.183571989782825</v>
      </c>
    </row>
    <row r="196" spans="1:18" x14ac:dyDescent="0.2">
      <c r="A196" s="86">
        <v>9</v>
      </c>
      <c r="B196" s="151">
        <f t="shared" si="45"/>
        <v>45901</v>
      </c>
      <c r="C196" s="167">
        <f t="shared" si="58"/>
        <v>45933</v>
      </c>
      <c r="D196" s="167">
        <f t="shared" si="58"/>
        <v>45954</v>
      </c>
      <c r="E196" s="1" t="s">
        <v>56</v>
      </c>
      <c r="F196" s="86">
        <v>9</v>
      </c>
      <c r="G196" s="153">
        <v>45</v>
      </c>
      <c r="H196" s="154">
        <f t="shared" si="46"/>
        <v>4.6134187490356018</v>
      </c>
      <c r="I196" s="154">
        <f t="shared" si="57"/>
        <v>4.8679546082756167</v>
      </c>
      <c r="J196" s="105">
        <f t="shared" si="47"/>
        <v>219.05795737240274</v>
      </c>
      <c r="K196" s="155">
        <f t="shared" si="41"/>
        <v>207.60384370660208</v>
      </c>
      <c r="L196" s="156">
        <f t="shared" si="59"/>
        <v>11.454113665800662</v>
      </c>
      <c r="M196" s="105">
        <f t="shared" si="48"/>
        <v>0.82013132535754463</v>
      </c>
      <c r="N196" s="157">
        <f t="shared" si="49"/>
        <v>12.274244991158207</v>
      </c>
      <c r="O196" s="105">
        <v>0</v>
      </c>
      <c r="P196" s="105">
        <v>0</v>
      </c>
      <c r="Q196" s="105">
        <v>0</v>
      </c>
      <c r="R196" s="157">
        <f t="shared" si="50"/>
        <v>12.274244991158207</v>
      </c>
    </row>
    <row r="197" spans="1:18" x14ac:dyDescent="0.2">
      <c r="A197" s="86">
        <v>10</v>
      </c>
      <c r="B197" s="151">
        <f t="shared" si="45"/>
        <v>45931</v>
      </c>
      <c r="C197" s="167">
        <f t="shared" si="58"/>
        <v>45966</v>
      </c>
      <c r="D197" s="167">
        <f t="shared" si="58"/>
        <v>45985</v>
      </c>
      <c r="E197" s="1" t="s">
        <v>56</v>
      </c>
      <c r="F197" s="86">
        <v>9</v>
      </c>
      <c r="G197" s="153">
        <v>41</v>
      </c>
      <c r="H197" s="154">
        <f t="shared" si="46"/>
        <v>4.6134187490356018</v>
      </c>
      <c r="I197" s="154">
        <f t="shared" si="57"/>
        <v>4.8679546082756167</v>
      </c>
      <c r="J197" s="105">
        <f t="shared" si="47"/>
        <v>199.58613893930027</v>
      </c>
      <c r="K197" s="155">
        <f t="shared" si="41"/>
        <v>189.15016871045967</v>
      </c>
      <c r="L197" s="156">
        <f t="shared" si="59"/>
        <v>10.435970228840603</v>
      </c>
      <c r="M197" s="105">
        <f t="shared" si="48"/>
        <v>0.74723076310354075</v>
      </c>
      <c r="N197" s="157">
        <f t="shared" si="49"/>
        <v>11.183200991944144</v>
      </c>
      <c r="O197" s="105">
        <v>0</v>
      </c>
      <c r="P197" s="105">
        <v>0</v>
      </c>
      <c r="Q197" s="105">
        <v>0</v>
      </c>
      <c r="R197" s="157">
        <f t="shared" si="50"/>
        <v>11.183200991944144</v>
      </c>
    </row>
    <row r="198" spans="1:18" x14ac:dyDescent="0.2">
      <c r="A198" s="86">
        <v>11</v>
      </c>
      <c r="B198" s="151">
        <f t="shared" si="45"/>
        <v>45962</v>
      </c>
      <c r="C198" s="167">
        <f t="shared" si="58"/>
        <v>45994</v>
      </c>
      <c r="D198" s="167">
        <f t="shared" si="58"/>
        <v>46015</v>
      </c>
      <c r="E198" s="1" t="s">
        <v>56</v>
      </c>
      <c r="F198" s="86">
        <v>9</v>
      </c>
      <c r="G198" s="153">
        <v>29</v>
      </c>
      <c r="H198" s="154">
        <f t="shared" si="46"/>
        <v>4.6134187490356018</v>
      </c>
      <c r="I198" s="154">
        <f t="shared" si="57"/>
        <v>4.8679546082756167</v>
      </c>
      <c r="J198" s="105">
        <f t="shared" si="47"/>
        <v>141.17068363999289</v>
      </c>
      <c r="K198" s="155">
        <f t="shared" ref="K198:K209" si="60">+$G198*H198</f>
        <v>133.78914372203246</v>
      </c>
      <c r="L198" s="156">
        <f t="shared" si="59"/>
        <v>7.3815399179604242</v>
      </c>
      <c r="M198" s="105">
        <f t="shared" si="48"/>
        <v>0.52852907634152879</v>
      </c>
      <c r="N198" s="157">
        <f t="shared" si="49"/>
        <v>7.9100689943019526</v>
      </c>
      <c r="O198" s="105">
        <v>0</v>
      </c>
      <c r="P198" s="105">
        <v>0</v>
      </c>
      <c r="Q198" s="105">
        <v>0</v>
      </c>
      <c r="R198" s="157">
        <f t="shared" si="50"/>
        <v>7.9100689943019526</v>
      </c>
    </row>
    <row r="199" spans="1:18" s="171" customFormat="1" x14ac:dyDescent="0.2">
      <c r="A199" s="86">
        <v>12</v>
      </c>
      <c r="B199" s="169">
        <f t="shared" si="45"/>
        <v>45992</v>
      </c>
      <c r="C199" s="167">
        <f t="shared" si="58"/>
        <v>46028</v>
      </c>
      <c r="D199" s="167">
        <f t="shared" si="58"/>
        <v>46048</v>
      </c>
      <c r="E199" s="170" t="s">
        <v>56</v>
      </c>
      <c r="F199" s="128">
        <v>9</v>
      </c>
      <c r="G199" s="190">
        <v>36</v>
      </c>
      <c r="H199" s="159">
        <f t="shared" si="46"/>
        <v>4.6134187490356018</v>
      </c>
      <c r="I199" s="159">
        <f t="shared" si="57"/>
        <v>4.8679546082756167</v>
      </c>
      <c r="J199" s="160">
        <f t="shared" si="47"/>
        <v>175.2463658979222</v>
      </c>
      <c r="K199" s="161">
        <f t="shared" si="60"/>
        <v>166.08307496528167</v>
      </c>
      <c r="L199" s="162">
        <f t="shared" si="59"/>
        <v>9.1632909326405354</v>
      </c>
      <c r="M199" s="160">
        <f t="shared" si="48"/>
        <v>0.65610506028603566</v>
      </c>
      <c r="N199" s="191">
        <f t="shared" si="49"/>
        <v>9.8193959929265713</v>
      </c>
      <c r="O199" s="160">
        <v>0</v>
      </c>
      <c r="P199" s="160">
        <v>0</v>
      </c>
      <c r="Q199" s="160">
        <v>0</v>
      </c>
      <c r="R199" s="191">
        <f t="shared" si="50"/>
        <v>9.8193959929265713</v>
      </c>
    </row>
    <row r="200" spans="1:18" x14ac:dyDescent="0.2">
      <c r="A200" s="86">
        <v>1</v>
      </c>
      <c r="B200" s="151">
        <f t="shared" si="45"/>
        <v>45658</v>
      </c>
      <c r="C200" s="164">
        <f t="shared" si="58"/>
        <v>45693</v>
      </c>
      <c r="D200" s="164">
        <f t="shared" si="58"/>
        <v>45712</v>
      </c>
      <c r="E200" s="152" t="s">
        <v>17</v>
      </c>
      <c r="F200" s="86">
        <v>9</v>
      </c>
      <c r="G200" s="153">
        <v>106</v>
      </c>
      <c r="H200" s="154">
        <f t="shared" si="46"/>
        <v>4.6134187490356018</v>
      </c>
      <c r="I200" s="154">
        <f t="shared" si="57"/>
        <v>4.8679546082756167</v>
      </c>
      <c r="J200" s="105">
        <f t="shared" si="47"/>
        <v>516.00318847721542</v>
      </c>
      <c r="K200" s="155">
        <f t="shared" si="60"/>
        <v>489.0223873977738</v>
      </c>
      <c r="L200" s="156">
        <f t="shared" si="59"/>
        <v>26.980801079441619</v>
      </c>
      <c r="M200" s="105">
        <f t="shared" si="48"/>
        <v>1.9318648997311052</v>
      </c>
      <c r="N200" s="157">
        <f t="shared" si="49"/>
        <v>28.912665979172726</v>
      </c>
      <c r="O200" s="105">
        <v>0</v>
      </c>
      <c r="P200" s="105">
        <v>0</v>
      </c>
      <c r="Q200" s="105">
        <v>0</v>
      </c>
      <c r="R200" s="157">
        <f t="shared" si="50"/>
        <v>28.912665979172726</v>
      </c>
    </row>
    <row r="201" spans="1:18" x14ac:dyDescent="0.2">
      <c r="A201" s="86">
        <v>2</v>
      </c>
      <c r="B201" s="151">
        <f t="shared" si="45"/>
        <v>45689</v>
      </c>
      <c r="C201" s="167">
        <f t="shared" si="58"/>
        <v>45721</v>
      </c>
      <c r="D201" s="167">
        <f t="shared" si="58"/>
        <v>45740</v>
      </c>
      <c r="E201" s="158" t="s">
        <v>17</v>
      </c>
      <c r="F201" s="86">
        <v>9</v>
      </c>
      <c r="G201" s="153">
        <v>102</v>
      </c>
      <c r="H201" s="154">
        <f t="shared" si="46"/>
        <v>4.6134187490356018</v>
      </c>
      <c r="I201" s="154">
        <f t="shared" si="57"/>
        <v>4.8679546082756167</v>
      </c>
      <c r="J201" s="105">
        <f t="shared" si="47"/>
        <v>496.53137004411292</v>
      </c>
      <c r="K201" s="155">
        <f t="shared" si="60"/>
        <v>470.56871240163139</v>
      </c>
      <c r="L201" s="156">
        <f t="shared" si="59"/>
        <v>25.962657642481531</v>
      </c>
      <c r="M201" s="105">
        <f t="shared" si="48"/>
        <v>1.8589643374771012</v>
      </c>
      <c r="N201" s="157">
        <f t="shared" si="49"/>
        <v>27.821621979958632</v>
      </c>
      <c r="O201" s="105">
        <v>0</v>
      </c>
      <c r="P201" s="105">
        <v>0</v>
      </c>
      <c r="Q201" s="105">
        <v>0</v>
      </c>
      <c r="R201" s="157">
        <f t="shared" si="50"/>
        <v>27.821621979958632</v>
      </c>
    </row>
    <row r="202" spans="1:18" x14ac:dyDescent="0.2">
      <c r="A202" s="86">
        <v>3</v>
      </c>
      <c r="B202" s="151">
        <f t="shared" si="45"/>
        <v>45717</v>
      </c>
      <c r="C202" s="167">
        <f t="shared" si="58"/>
        <v>45750</v>
      </c>
      <c r="D202" s="167">
        <f t="shared" si="58"/>
        <v>45771</v>
      </c>
      <c r="E202" s="158" t="s">
        <v>17</v>
      </c>
      <c r="F202" s="86">
        <v>9</v>
      </c>
      <c r="G202" s="153">
        <v>100</v>
      </c>
      <c r="H202" s="154">
        <f t="shared" si="46"/>
        <v>4.6134187490356018</v>
      </c>
      <c r="I202" s="154">
        <f t="shared" si="57"/>
        <v>4.8679546082756167</v>
      </c>
      <c r="J202" s="105">
        <f t="shared" si="47"/>
        <v>486.79546082756167</v>
      </c>
      <c r="K202" s="155">
        <f t="shared" si="60"/>
        <v>461.34187490356015</v>
      </c>
      <c r="L202" s="156">
        <f>+J202-K202</f>
        <v>25.453585924001516</v>
      </c>
      <c r="M202" s="105">
        <f t="shared" si="48"/>
        <v>1.8225140563500994</v>
      </c>
      <c r="N202" s="157">
        <f t="shared" si="49"/>
        <v>27.276099980351614</v>
      </c>
      <c r="O202" s="105">
        <v>0</v>
      </c>
      <c r="P202" s="105">
        <v>0</v>
      </c>
      <c r="Q202" s="105">
        <v>0</v>
      </c>
      <c r="R202" s="157">
        <f t="shared" si="50"/>
        <v>27.276099980351614</v>
      </c>
    </row>
    <row r="203" spans="1:18" x14ac:dyDescent="0.2">
      <c r="A203" s="86">
        <v>4</v>
      </c>
      <c r="B203" s="151">
        <f t="shared" si="45"/>
        <v>45748</v>
      </c>
      <c r="C203" s="167">
        <f t="shared" si="58"/>
        <v>45782</v>
      </c>
      <c r="D203" s="167">
        <f t="shared" si="58"/>
        <v>45803</v>
      </c>
      <c r="E203" s="158" t="s">
        <v>17</v>
      </c>
      <c r="F203" s="86">
        <v>9</v>
      </c>
      <c r="G203" s="153">
        <v>60</v>
      </c>
      <c r="H203" s="154">
        <f t="shared" si="46"/>
        <v>4.6134187490356018</v>
      </c>
      <c r="I203" s="154">
        <f t="shared" si="57"/>
        <v>4.8679546082756167</v>
      </c>
      <c r="J203" s="105">
        <f t="shared" si="47"/>
        <v>292.07727649653702</v>
      </c>
      <c r="K203" s="155">
        <f t="shared" si="60"/>
        <v>276.8051249421361</v>
      </c>
      <c r="L203" s="156">
        <f t="shared" ref="L203:L211" si="61">+J203-K203</f>
        <v>15.272151554400921</v>
      </c>
      <c r="M203" s="105">
        <f t="shared" si="48"/>
        <v>1.0935084338100596</v>
      </c>
      <c r="N203" s="157">
        <f t="shared" si="49"/>
        <v>16.365659988210979</v>
      </c>
      <c r="O203" s="105">
        <v>0</v>
      </c>
      <c r="P203" s="105">
        <v>0</v>
      </c>
      <c r="Q203" s="105">
        <v>0</v>
      </c>
      <c r="R203" s="157">
        <f t="shared" si="50"/>
        <v>16.365659988210979</v>
      </c>
    </row>
    <row r="204" spans="1:18" x14ac:dyDescent="0.2">
      <c r="A204" s="86">
        <v>5</v>
      </c>
      <c r="B204" s="151">
        <f t="shared" si="45"/>
        <v>45778</v>
      </c>
      <c r="C204" s="167">
        <f t="shared" si="58"/>
        <v>45812</v>
      </c>
      <c r="D204" s="167">
        <f t="shared" si="58"/>
        <v>45832</v>
      </c>
      <c r="E204" s="1" t="s">
        <v>17</v>
      </c>
      <c r="F204" s="86">
        <v>9</v>
      </c>
      <c r="G204" s="153">
        <v>96</v>
      </c>
      <c r="H204" s="154">
        <f t="shared" si="46"/>
        <v>4.6134187490356018</v>
      </c>
      <c r="I204" s="154">
        <f t="shared" si="57"/>
        <v>4.8679546082756167</v>
      </c>
      <c r="J204" s="105">
        <f t="shared" si="47"/>
        <v>467.32364239445917</v>
      </c>
      <c r="K204" s="155">
        <f t="shared" si="60"/>
        <v>442.88819990741774</v>
      </c>
      <c r="L204" s="156">
        <f t="shared" si="61"/>
        <v>24.435442487041428</v>
      </c>
      <c r="M204" s="105">
        <f t="shared" si="48"/>
        <v>1.7496134940960955</v>
      </c>
      <c r="N204" s="157">
        <f t="shared" si="49"/>
        <v>26.185055981137523</v>
      </c>
      <c r="O204" s="105">
        <v>0</v>
      </c>
      <c r="P204" s="105">
        <v>0</v>
      </c>
      <c r="Q204" s="105">
        <v>0</v>
      </c>
      <c r="R204" s="157">
        <f t="shared" si="50"/>
        <v>26.185055981137523</v>
      </c>
    </row>
    <row r="205" spans="1:18" x14ac:dyDescent="0.2">
      <c r="A205" s="86">
        <v>6</v>
      </c>
      <c r="B205" s="151">
        <f t="shared" si="45"/>
        <v>45809</v>
      </c>
      <c r="C205" s="167">
        <f t="shared" si="58"/>
        <v>45841</v>
      </c>
      <c r="D205" s="167">
        <f t="shared" si="58"/>
        <v>45862</v>
      </c>
      <c r="E205" s="1" t="s">
        <v>17</v>
      </c>
      <c r="F205" s="86">
        <v>9</v>
      </c>
      <c r="G205" s="153">
        <v>119</v>
      </c>
      <c r="H205" s="154">
        <f t="shared" si="46"/>
        <v>4.6134187490356018</v>
      </c>
      <c r="I205" s="154">
        <f t="shared" si="57"/>
        <v>4.8679546082756167</v>
      </c>
      <c r="J205" s="105">
        <f t="shared" si="47"/>
        <v>579.28659838479837</v>
      </c>
      <c r="K205" s="155">
        <f t="shared" si="60"/>
        <v>548.99683113523656</v>
      </c>
      <c r="L205" s="156">
        <f t="shared" si="61"/>
        <v>30.289767249561805</v>
      </c>
      <c r="M205" s="105">
        <f t="shared" si="48"/>
        <v>2.1687917270566177</v>
      </c>
      <c r="N205" s="157">
        <f t="shared" si="49"/>
        <v>32.45855897661842</v>
      </c>
      <c r="O205" s="105">
        <v>0</v>
      </c>
      <c r="P205" s="105">
        <v>0</v>
      </c>
      <c r="Q205" s="105">
        <v>0</v>
      </c>
      <c r="R205" s="157">
        <f t="shared" si="50"/>
        <v>32.45855897661842</v>
      </c>
    </row>
    <row r="206" spans="1:18" x14ac:dyDescent="0.2">
      <c r="A206" s="86">
        <v>7</v>
      </c>
      <c r="B206" s="151">
        <f t="shared" si="45"/>
        <v>45839</v>
      </c>
      <c r="C206" s="167">
        <f t="shared" si="58"/>
        <v>45874</v>
      </c>
      <c r="D206" s="167">
        <f t="shared" si="58"/>
        <v>45894</v>
      </c>
      <c r="E206" s="1" t="s">
        <v>17</v>
      </c>
      <c r="F206" s="86">
        <v>9</v>
      </c>
      <c r="G206" s="153">
        <v>118</v>
      </c>
      <c r="H206" s="154">
        <f t="shared" si="46"/>
        <v>4.6134187490356018</v>
      </c>
      <c r="I206" s="154">
        <f t="shared" si="57"/>
        <v>4.8679546082756167</v>
      </c>
      <c r="J206" s="105">
        <f t="shared" si="47"/>
        <v>574.4186437765228</v>
      </c>
      <c r="K206" s="155">
        <f t="shared" si="60"/>
        <v>544.38341238620103</v>
      </c>
      <c r="L206" s="156">
        <f t="shared" si="61"/>
        <v>30.035231390321769</v>
      </c>
      <c r="M206" s="105">
        <f t="shared" si="48"/>
        <v>2.1505665864931172</v>
      </c>
      <c r="N206" s="157">
        <f t="shared" si="49"/>
        <v>32.185797976814889</v>
      </c>
      <c r="O206" s="105">
        <v>0</v>
      </c>
      <c r="P206" s="105">
        <v>0</v>
      </c>
      <c r="Q206" s="105">
        <v>0</v>
      </c>
      <c r="R206" s="157">
        <f t="shared" si="50"/>
        <v>32.185797976814889</v>
      </c>
    </row>
    <row r="207" spans="1:18" x14ac:dyDescent="0.2">
      <c r="A207" s="86">
        <v>8</v>
      </c>
      <c r="B207" s="151">
        <f t="shared" si="45"/>
        <v>45870</v>
      </c>
      <c r="C207" s="167">
        <f t="shared" si="58"/>
        <v>45904</v>
      </c>
      <c r="D207" s="167">
        <f t="shared" si="58"/>
        <v>45924</v>
      </c>
      <c r="E207" s="1" t="s">
        <v>17</v>
      </c>
      <c r="F207" s="86">
        <v>9</v>
      </c>
      <c r="G207" s="153">
        <v>119</v>
      </c>
      <c r="H207" s="154">
        <f t="shared" si="46"/>
        <v>4.6134187490356018</v>
      </c>
      <c r="I207" s="154">
        <f t="shared" si="57"/>
        <v>4.8679546082756167</v>
      </c>
      <c r="J207" s="105">
        <f t="shared" si="47"/>
        <v>579.28659838479837</v>
      </c>
      <c r="K207" s="155">
        <f t="shared" si="60"/>
        <v>548.99683113523656</v>
      </c>
      <c r="L207" s="156">
        <f t="shared" si="61"/>
        <v>30.289767249561805</v>
      </c>
      <c r="M207" s="105">
        <f t="shared" si="48"/>
        <v>2.1687917270566177</v>
      </c>
      <c r="N207" s="157">
        <f t="shared" si="49"/>
        <v>32.45855897661842</v>
      </c>
      <c r="O207" s="105">
        <v>0</v>
      </c>
      <c r="P207" s="105">
        <v>0</v>
      </c>
      <c r="Q207" s="105">
        <v>0</v>
      </c>
      <c r="R207" s="157">
        <f t="shared" si="50"/>
        <v>32.45855897661842</v>
      </c>
    </row>
    <row r="208" spans="1:18" x14ac:dyDescent="0.2">
      <c r="A208" s="86">
        <v>9</v>
      </c>
      <c r="B208" s="151">
        <f t="shared" si="45"/>
        <v>45901</v>
      </c>
      <c r="C208" s="167">
        <f t="shared" si="58"/>
        <v>45933</v>
      </c>
      <c r="D208" s="167">
        <f t="shared" si="58"/>
        <v>45954</v>
      </c>
      <c r="E208" s="1" t="s">
        <v>17</v>
      </c>
      <c r="F208" s="86">
        <v>9</v>
      </c>
      <c r="G208" s="153">
        <v>101</v>
      </c>
      <c r="H208" s="154">
        <f t="shared" si="46"/>
        <v>4.6134187490356018</v>
      </c>
      <c r="I208" s="154">
        <f t="shared" si="57"/>
        <v>4.8679546082756167</v>
      </c>
      <c r="J208" s="105">
        <f t="shared" si="47"/>
        <v>491.66341543583729</v>
      </c>
      <c r="K208" s="155">
        <f t="shared" si="60"/>
        <v>465.9552936525958</v>
      </c>
      <c r="L208" s="156">
        <f t="shared" si="61"/>
        <v>25.708121783241495</v>
      </c>
      <c r="M208" s="105">
        <f t="shared" si="48"/>
        <v>1.8407391969136002</v>
      </c>
      <c r="N208" s="157">
        <f t="shared" si="49"/>
        <v>27.548860980155094</v>
      </c>
      <c r="O208" s="105">
        <v>0</v>
      </c>
      <c r="P208" s="105">
        <v>0</v>
      </c>
      <c r="Q208" s="105">
        <v>0</v>
      </c>
      <c r="R208" s="157">
        <f t="shared" si="50"/>
        <v>27.548860980155094</v>
      </c>
    </row>
    <row r="209" spans="1:18" x14ac:dyDescent="0.2">
      <c r="A209" s="86">
        <v>10</v>
      </c>
      <c r="B209" s="151">
        <f t="shared" si="45"/>
        <v>45931</v>
      </c>
      <c r="C209" s="167">
        <f t="shared" si="58"/>
        <v>45966</v>
      </c>
      <c r="D209" s="167">
        <f t="shared" si="58"/>
        <v>45985</v>
      </c>
      <c r="E209" s="1" t="s">
        <v>17</v>
      </c>
      <c r="F209" s="86">
        <v>9</v>
      </c>
      <c r="G209" s="153">
        <v>106</v>
      </c>
      <c r="H209" s="154">
        <f t="shared" si="46"/>
        <v>4.6134187490356018</v>
      </c>
      <c r="I209" s="154">
        <f t="shared" si="57"/>
        <v>4.8679546082756167</v>
      </c>
      <c r="J209" s="105">
        <f t="shared" si="47"/>
        <v>516.00318847721542</v>
      </c>
      <c r="K209" s="155">
        <f t="shared" si="60"/>
        <v>489.0223873977738</v>
      </c>
      <c r="L209" s="156">
        <f t="shared" si="61"/>
        <v>26.980801079441619</v>
      </c>
      <c r="M209" s="105">
        <f t="shared" si="48"/>
        <v>1.9318648997311052</v>
      </c>
      <c r="N209" s="157">
        <f t="shared" si="49"/>
        <v>28.912665979172726</v>
      </c>
      <c r="O209" s="105">
        <v>0</v>
      </c>
      <c r="P209" s="105">
        <v>0</v>
      </c>
      <c r="Q209" s="105">
        <v>0</v>
      </c>
      <c r="R209" s="157">
        <f t="shared" si="50"/>
        <v>28.912665979172726</v>
      </c>
    </row>
    <row r="210" spans="1:18" x14ac:dyDescent="0.2">
      <c r="A210" s="86">
        <v>11</v>
      </c>
      <c r="B210" s="151">
        <f t="shared" si="45"/>
        <v>45962</v>
      </c>
      <c r="C210" s="167">
        <f t="shared" si="58"/>
        <v>45994</v>
      </c>
      <c r="D210" s="167">
        <f t="shared" si="58"/>
        <v>46015</v>
      </c>
      <c r="E210" s="1" t="s">
        <v>17</v>
      </c>
      <c r="F210" s="86">
        <v>9</v>
      </c>
      <c r="G210" s="153">
        <v>35</v>
      </c>
      <c r="H210" s="154">
        <f t="shared" si="46"/>
        <v>4.6134187490356018</v>
      </c>
      <c r="I210" s="154">
        <f t="shared" si="57"/>
        <v>4.8679546082756167</v>
      </c>
      <c r="J210" s="105">
        <f t="shared" si="47"/>
        <v>170.37841128964658</v>
      </c>
      <c r="K210" s="155">
        <f>+$G210*H210</f>
        <v>161.46965621624605</v>
      </c>
      <c r="L210" s="156">
        <f t="shared" si="61"/>
        <v>8.9087550734005276</v>
      </c>
      <c r="M210" s="105">
        <f t="shared" si="48"/>
        <v>0.63787991972253477</v>
      </c>
      <c r="N210" s="157">
        <f t="shared" si="49"/>
        <v>9.5466349931230621</v>
      </c>
      <c r="O210" s="105">
        <v>0</v>
      </c>
      <c r="P210" s="105">
        <v>0</v>
      </c>
      <c r="Q210" s="105">
        <v>0</v>
      </c>
      <c r="R210" s="157">
        <f t="shared" si="50"/>
        <v>9.5466349931230621</v>
      </c>
    </row>
    <row r="211" spans="1:18" s="171" customFormat="1" x14ac:dyDescent="0.2">
      <c r="A211" s="86">
        <v>12</v>
      </c>
      <c r="B211" s="169">
        <f t="shared" si="45"/>
        <v>45992</v>
      </c>
      <c r="C211" s="172">
        <f t="shared" si="58"/>
        <v>46028</v>
      </c>
      <c r="D211" s="172">
        <f t="shared" si="58"/>
        <v>46048</v>
      </c>
      <c r="E211" s="170" t="s">
        <v>17</v>
      </c>
      <c r="F211" s="128">
        <v>9</v>
      </c>
      <c r="G211" s="190">
        <v>103</v>
      </c>
      <c r="H211" s="159">
        <f t="shared" si="46"/>
        <v>4.6134187490356018</v>
      </c>
      <c r="I211" s="159">
        <f t="shared" si="57"/>
        <v>4.8679546082756167</v>
      </c>
      <c r="J211" s="160">
        <f t="shared" si="47"/>
        <v>501.39932465238854</v>
      </c>
      <c r="K211" s="161">
        <f>+$G211*H211</f>
        <v>475.18213115066698</v>
      </c>
      <c r="L211" s="162">
        <f t="shared" si="61"/>
        <v>26.217193501721567</v>
      </c>
      <c r="M211" s="160">
        <f t="shared" si="48"/>
        <v>1.8771894780406022</v>
      </c>
      <c r="N211" s="191">
        <f t="shared" si="49"/>
        <v>28.09438297976217</v>
      </c>
      <c r="O211" s="160">
        <v>0</v>
      </c>
      <c r="P211" s="160">
        <v>0</v>
      </c>
      <c r="Q211" s="160">
        <v>0</v>
      </c>
      <c r="R211" s="191">
        <f t="shared" si="50"/>
        <v>28.09438297976217</v>
      </c>
    </row>
    <row r="212" spans="1:18" x14ac:dyDescent="0.2">
      <c r="G212" s="177">
        <f>SUM(G20:G211)</f>
        <v>105873</v>
      </c>
      <c r="H212" s="45"/>
      <c r="J212" s="45">
        <f>SUM(J20:J211)</f>
        <v>515384.95824196428</v>
      </c>
      <c r="K212" s="45">
        <f>SUM(K20:K211)</f>
        <v>488436.48321664595</v>
      </c>
      <c r="L212" s="45">
        <f>SUM(L20:L211)</f>
        <v>26948.475025318079</v>
      </c>
      <c r="M212" s="45">
        <f>SUM(M20:M211)</f>
        <v>1929.5503068795417</v>
      </c>
      <c r="N212" s="45"/>
      <c r="O212" s="45"/>
      <c r="P212" s="45">
        <f>SUM(P20:P211)</f>
        <v>0</v>
      </c>
      <c r="Q212" s="45"/>
      <c r="R212" s="178">
        <f>SUM(R20:R211)</f>
        <v>28878.025332197634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jozNC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DozMS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E300A703-2789-4A03-BA83-DDCEA9EBA07D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CF7029C1-239C-4BC4-8EC7-CB2A258DF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64F88-B928-40B4-AEDB-1670B5897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B09F57-0463-4388-ACA3-8D53A088A480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E8AA4DCE-8C31-49C1-8262-14CDD4E647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2023-05-24T20:00:04Z</cp:lastPrinted>
  <dcterms:created xsi:type="dcterms:W3CDTF">2009-09-04T18:19:13Z</dcterms:created>
  <dcterms:modified xsi:type="dcterms:W3CDTF">2026-05-21T20:52:35Z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cfa33df9-0e91-4da4-976b-7a0481d29165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{4BB09F57-0463-4388-ACA3-8D53A088A480}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